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입력" sheetId="1" state="visible" r:id="rId1"/>
    <sheet xmlns:r="http://schemas.openxmlformats.org/officeDocument/2006/relationships" name="상환스케줄" sheetId="2" state="visible" r:id="rId2"/>
    <sheet xmlns:r="http://schemas.openxmlformats.org/officeDocument/2006/relationships" name="대시보드" sheetId="3" state="visible" r:id="rId3"/>
    <sheet xmlns:r="http://schemas.openxmlformats.org/officeDocument/2006/relationships" name="사용 가이드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1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1D4ED8"/>
      </patternFill>
    </fill>
    <fill>
      <patternFill patternType="solid">
        <fgColor rgb="00DBEAFE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vertical="center"/>
    </xf>
    <xf numFmtId="3" fontId="0" fillId="2" borderId="1" applyProtection="1" pivotButton="0" quotePrefix="0" xfId="0">
      <protection locked="0" hidden="0"/>
    </xf>
    <xf numFmtId="2" fontId="0" fillId="2" borderId="1" applyProtection="1" pivotButton="0" quotePrefix="0" xfId="0">
      <protection locked="0" hidden="0"/>
    </xf>
    <xf numFmtId="1" fontId="0" fillId="2" borderId="1" applyProtection="1" pivotButton="0" quotePrefix="0" xfId="0">
      <protection locked="0" hidden="0"/>
    </xf>
    <xf numFmtId="49" fontId="0" fillId="2" borderId="1" applyProtection="1" pivotButton="0" quotePrefix="0" xfId="0">
      <protection locked="0" hidden="0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3" fontId="0" fillId="4" borderId="1" pivotButton="0" quotePrefix="0" xfId="0"/>
    <xf numFmtId="0" fontId="2" fillId="0" borderId="1" pivotButton="0" quotePrefix="0" xfId="0"/>
    <xf numFmtId="3" fontId="0" fillId="5" borderId="1" pivotButton="0" quotePrefix="0" xfId="0"/>
    <xf numFmtId="3" fontId="4" fillId="5" borderId="1" pivotButton="0" quotePrefix="0" xfId="0"/>
    <xf numFmtId="164" fontId="0" fillId="5" borderId="1" pivotButton="0" quotePrefix="0" xfId="0"/>
    <xf numFmtId="0" fontId="2" fillId="0" borderId="0" pivotButton="0" quotePrefix="0" xfId="0"/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잔여 원금 변화</a:t>
            </a:r>
          </a:p>
        </rich>
      </tx>
    </title>
    <plotArea>
      <lineChart>
        <grouping val="standard"/>
        <ser>
          <idx val="0"/>
          <order val="0"/>
          <tx>
            <strRef>
              <f>'상환스케줄'!E1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'상환스케줄'!$A$2:$A$361</f>
            </numRef>
          </cat>
          <val>
            <numRef>
              <f>'상환스케줄'!$E$2:$E$361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원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864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</cols>
  <sheetData>
    <row r="1">
      <c r="A1" s="1" t="inlineStr">
        <is>
          <t>🏦 대출 상환 시뮬레이터</t>
        </is>
      </c>
    </row>
    <row r="4">
      <c r="A4" s="2" t="inlineStr">
        <is>
          <t>대출금액(원)</t>
        </is>
      </c>
      <c r="B4" s="3" t="n">
        <v>300000000</v>
      </c>
    </row>
    <row r="5">
      <c r="A5" s="2" t="inlineStr">
        <is>
          <t>연이율(%)</t>
        </is>
      </c>
      <c r="B5" s="4" t="n">
        <v>3.5</v>
      </c>
    </row>
    <row r="6">
      <c r="A6" s="2" t="inlineStr">
        <is>
          <t>상환 기간(년)</t>
        </is>
      </c>
      <c r="B6" s="5" t="n">
        <v>30</v>
      </c>
    </row>
    <row r="7">
      <c r="A7" s="2" t="inlineStr">
        <is>
          <t>상환 방식</t>
        </is>
      </c>
      <c r="B7" s="6" t="inlineStr">
        <is>
          <t>원리금균등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dataValidations count="4">
    <dataValidation sqref="B7" showDropDown="0" showInputMessage="0" showErrorMessage="0" allowBlank="0" type="list">
      <formula1>"원리금균등,원금균등"</formula1>
    </dataValidation>
    <dataValidation sqref="B4" showDropDown="0" showInputMessage="0" showErrorMessage="0" allowBlank="0" errorTitle="입력 오류" error="숫자만 입력 가능합니다." type="decimal" operator="between">
      <formula1>0</formula1>
      <formula2>9999999999</formula2>
    </dataValidation>
    <dataValidation sqref="B5" showDropDown="0" showInputMessage="0" showErrorMessage="0" allowBlank="0" errorTitle="입력 오류" error="숫자만 입력 가능합니다." type="decimal" operator="between">
      <formula1>0</formula1>
      <formula2>30</formula2>
    </dataValidation>
    <dataValidation sqref="B6" showDropDown="0" showInputMessage="0" showErrorMessage="0" allowBlank="0" errorTitle="입력 오류" error="숫자만 입력 가능합니다." type="decimal" operator="between">
      <formula1>1</formula1>
      <formula2>40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EAFE"/>
    <outlinePr summaryBelow="1" summaryRight="1"/>
    <pageSetUpPr/>
  </sheetPr>
  <dimension ref="A1:E361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4" customWidth="1" min="3" max="3"/>
    <col width="14" customWidth="1" min="4" max="4"/>
    <col width="18" customWidth="1" min="5" max="5"/>
  </cols>
  <sheetData>
    <row r="1">
      <c r="A1" s="7" t="inlineStr">
        <is>
          <t>회차</t>
        </is>
      </c>
      <c r="B1" s="7" t="inlineStr">
        <is>
          <t>월상환액</t>
        </is>
      </c>
      <c r="C1" s="7" t="inlineStr">
        <is>
          <t>원금</t>
        </is>
      </c>
      <c r="D1" s="7" t="inlineStr">
        <is>
          <t>이자</t>
        </is>
      </c>
      <c r="E1" s="7" t="inlineStr">
        <is>
          <t>잔여 원금</t>
        </is>
      </c>
    </row>
    <row r="2">
      <c r="A2" s="8" t="n">
        <v>1</v>
      </c>
      <c r="B2" s="9">
        <f>IFERROR(IF(1&gt;입력!B6*12,"",IF(입력!B7="원리금균등",ROUND(-PMT(입력!B5/100/12,입력!B6*12,입력!B4),0),ROUND(입력!B4/(입력!B6*12)+E2*입력!B5/100/12,0))),0)</f>
        <v/>
      </c>
      <c r="C2" s="9">
        <f>IFERROR(IF(1&gt;입력!B6*12,"",B2-D2),0)</f>
        <v/>
      </c>
      <c r="D2" s="9">
        <f>IFERROR(IF(1&gt;입력!B6*12,"",ROUND(입력!B4*입력!B5/100/12,0)),0)</f>
        <v/>
      </c>
      <c r="E2" s="9">
        <f>IFERROR(IF(1&gt;입력!B6*12,"",입력!B4-C2),0)</f>
        <v/>
      </c>
    </row>
    <row r="3">
      <c r="A3" s="8" t="n">
        <v>2</v>
      </c>
      <c r="B3" s="9">
        <f>IFERROR(IF(2&gt;입력!B6*12,"",IF(입력!B7="원리금균등",ROUND(-PMT(입력!B5/100/12,입력!B6*12,입력!B4),0),ROUND(입력!B4/(입력!B6*12)+E3*입력!B5/100/12,0))),0)</f>
        <v/>
      </c>
      <c r="C3" s="9">
        <f>IFERROR(IF(2&gt;입력!B6*12,"",B3-D3),0)</f>
        <v/>
      </c>
      <c r="D3" s="9">
        <f>IFERROR(IF(2&gt;입력!B6*12,"",ROUND(E2*입력!B5/100/12,0)),0)</f>
        <v/>
      </c>
      <c r="E3" s="9">
        <f>IFERROR(IF(2&gt;입력!B6*12,"",E2-C3),0)</f>
        <v/>
      </c>
    </row>
    <row r="4">
      <c r="A4" s="8" t="n">
        <v>3</v>
      </c>
      <c r="B4" s="9">
        <f>IFERROR(IF(3&gt;입력!B6*12,"",IF(입력!B7="원리금균등",ROUND(-PMT(입력!B5/100/12,입력!B6*12,입력!B4),0),ROUND(입력!B4/(입력!B6*12)+E4*입력!B5/100/12,0))),0)</f>
        <v/>
      </c>
      <c r="C4" s="9">
        <f>IFERROR(IF(3&gt;입력!B6*12,"",B4-D4),0)</f>
        <v/>
      </c>
      <c r="D4" s="9">
        <f>IFERROR(IF(3&gt;입력!B6*12,"",ROUND(E3*입력!B5/100/12,0)),0)</f>
        <v/>
      </c>
      <c r="E4" s="9">
        <f>IFERROR(IF(3&gt;입력!B6*12,"",E3-C4),0)</f>
        <v/>
      </c>
    </row>
    <row r="5">
      <c r="A5" s="8" t="n">
        <v>4</v>
      </c>
      <c r="B5" s="9">
        <f>IFERROR(IF(4&gt;입력!B6*12,"",IF(입력!B7="원리금균등",ROUND(-PMT(입력!B5/100/12,입력!B6*12,입력!B4),0),ROUND(입력!B4/(입력!B6*12)+E5*입력!B5/100/12,0))),0)</f>
        <v/>
      </c>
      <c r="C5" s="9">
        <f>IFERROR(IF(4&gt;입력!B6*12,"",B5-D5),0)</f>
        <v/>
      </c>
      <c r="D5" s="9">
        <f>IFERROR(IF(4&gt;입력!B6*12,"",ROUND(E4*입력!B5/100/12,0)),0)</f>
        <v/>
      </c>
      <c r="E5" s="9">
        <f>IFERROR(IF(4&gt;입력!B6*12,"",E4-C5),0)</f>
        <v/>
      </c>
    </row>
    <row r="6">
      <c r="A6" s="8" t="n">
        <v>5</v>
      </c>
      <c r="B6" s="9">
        <f>IFERROR(IF(5&gt;입력!B6*12,"",IF(입력!B7="원리금균등",ROUND(-PMT(입력!B5/100/12,입력!B6*12,입력!B4),0),ROUND(입력!B4/(입력!B6*12)+E6*입력!B5/100/12,0))),0)</f>
        <v/>
      </c>
      <c r="C6" s="9">
        <f>IFERROR(IF(5&gt;입력!B6*12,"",B6-D6),0)</f>
        <v/>
      </c>
      <c r="D6" s="9">
        <f>IFERROR(IF(5&gt;입력!B6*12,"",ROUND(E5*입력!B5/100/12,0)),0)</f>
        <v/>
      </c>
      <c r="E6" s="9">
        <f>IFERROR(IF(5&gt;입력!B6*12,"",E5-C6),0)</f>
        <v/>
      </c>
    </row>
    <row r="7">
      <c r="A7" s="8" t="n">
        <v>6</v>
      </c>
      <c r="B7" s="9">
        <f>IFERROR(IF(6&gt;입력!B6*12,"",IF(입력!B7="원리금균등",ROUND(-PMT(입력!B5/100/12,입력!B6*12,입력!B4),0),ROUND(입력!B4/(입력!B6*12)+E7*입력!B5/100/12,0))),0)</f>
        <v/>
      </c>
      <c r="C7" s="9">
        <f>IFERROR(IF(6&gt;입력!B6*12,"",B7-D7),0)</f>
        <v/>
      </c>
      <c r="D7" s="9">
        <f>IFERROR(IF(6&gt;입력!B6*12,"",ROUND(E6*입력!B5/100/12,0)),0)</f>
        <v/>
      </c>
      <c r="E7" s="9">
        <f>IFERROR(IF(6&gt;입력!B6*12,"",E6-C7),0)</f>
        <v/>
      </c>
    </row>
    <row r="8">
      <c r="A8" s="8" t="n">
        <v>7</v>
      </c>
      <c r="B8" s="9">
        <f>IFERROR(IF(7&gt;입력!B6*12,"",IF(입력!B7="원리금균등",ROUND(-PMT(입력!B5/100/12,입력!B6*12,입력!B4),0),ROUND(입력!B4/(입력!B6*12)+E8*입력!B5/100/12,0))),0)</f>
        <v/>
      </c>
      <c r="C8" s="9">
        <f>IFERROR(IF(7&gt;입력!B6*12,"",B8-D8),0)</f>
        <v/>
      </c>
      <c r="D8" s="9">
        <f>IFERROR(IF(7&gt;입력!B6*12,"",ROUND(E7*입력!B5/100/12,0)),0)</f>
        <v/>
      </c>
      <c r="E8" s="9">
        <f>IFERROR(IF(7&gt;입력!B6*12,"",E7-C8),0)</f>
        <v/>
      </c>
    </row>
    <row r="9">
      <c r="A9" s="8" t="n">
        <v>8</v>
      </c>
      <c r="B9" s="9">
        <f>IFERROR(IF(8&gt;입력!B6*12,"",IF(입력!B7="원리금균등",ROUND(-PMT(입력!B5/100/12,입력!B6*12,입력!B4),0),ROUND(입력!B4/(입력!B6*12)+E9*입력!B5/100/12,0))),0)</f>
        <v/>
      </c>
      <c r="C9" s="9">
        <f>IFERROR(IF(8&gt;입력!B6*12,"",B9-D9),0)</f>
        <v/>
      </c>
      <c r="D9" s="9">
        <f>IFERROR(IF(8&gt;입력!B6*12,"",ROUND(E8*입력!B5/100/12,0)),0)</f>
        <v/>
      </c>
      <c r="E9" s="9">
        <f>IFERROR(IF(8&gt;입력!B6*12,"",E8-C9),0)</f>
        <v/>
      </c>
    </row>
    <row r="10">
      <c r="A10" s="8" t="n">
        <v>9</v>
      </c>
      <c r="B10" s="9">
        <f>IFERROR(IF(9&gt;입력!B6*12,"",IF(입력!B7="원리금균등",ROUND(-PMT(입력!B5/100/12,입력!B6*12,입력!B4),0),ROUND(입력!B4/(입력!B6*12)+E10*입력!B5/100/12,0))),0)</f>
        <v/>
      </c>
      <c r="C10" s="9">
        <f>IFERROR(IF(9&gt;입력!B6*12,"",B10-D10),0)</f>
        <v/>
      </c>
      <c r="D10" s="9">
        <f>IFERROR(IF(9&gt;입력!B6*12,"",ROUND(E9*입력!B5/100/12,0)),0)</f>
        <v/>
      </c>
      <c r="E10" s="9">
        <f>IFERROR(IF(9&gt;입력!B6*12,"",E9-C10),0)</f>
        <v/>
      </c>
    </row>
    <row r="11">
      <c r="A11" s="8" t="n">
        <v>10</v>
      </c>
      <c r="B11" s="9">
        <f>IFERROR(IF(10&gt;입력!B6*12,"",IF(입력!B7="원리금균등",ROUND(-PMT(입력!B5/100/12,입력!B6*12,입력!B4),0),ROUND(입력!B4/(입력!B6*12)+E11*입력!B5/100/12,0))),0)</f>
        <v/>
      </c>
      <c r="C11" s="9">
        <f>IFERROR(IF(10&gt;입력!B6*12,"",B11-D11),0)</f>
        <v/>
      </c>
      <c r="D11" s="9">
        <f>IFERROR(IF(10&gt;입력!B6*12,"",ROUND(E10*입력!B5/100/12,0)),0)</f>
        <v/>
      </c>
      <c r="E11" s="9">
        <f>IFERROR(IF(10&gt;입력!B6*12,"",E10-C11),0)</f>
        <v/>
      </c>
    </row>
    <row r="12">
      <c r="A12" s="8" t="n">
        <v>11</v>
      </c>
      <c r="B12" s="9">
        <f>IFERROR(IF(11&gt;입력!B6*12,"",IF(입력!B7="원리금균등",ROUND(-PMT(입력!B5/100/12,입력!B6*12,입력!B4),0),ROUND(입력!B4/(입력!B6*12)+E12*입력!B5/100/12,0))),0)</f>
        <v/>
      </c>
      <c r="C12" s="9">
        <f>IFERROR(IF(11&gt;입력!B6*12,"",B12-D12),0)</f>
        <v/>
      </c>
      <c r="D12" s="9">
        <f>IFERROR(IF(11&gt;입력!B6*12,"",ROUND(E11*입력!B5/100/12,0)),0)</f>
        <v/>
      </c>
      <c r="E12" s="9">
        <f>IFERROR(IF(11&gt;입력!B6*12,"",E11-C12),0)</f>
        <v/>
      </c>
    </row>
    <row r="13">
      <c r="A13" s="8" t="n">
        <v>12</v>
      </c>
      <c r="B13" s="9">
        <f>IFERROR(IF(12&gt;입력!B6*12,"",IF(입력!B7="원리금균등",ROUND(-PMT(입력!B5/100/12,입력!B6*12,입력!B4),0),ROUND(입력!B4/(입력!B6*12)+E13*입력!B5/100/12,0))),0)</f>
        <v/>
      </c>
      <c r="C13" s="9">
        <f>IFERROR(IF(12&gt;입력!B6*12,"",B13-D13),0)</f>
        <v/>
      </c>
      <c r="D13" s="9">
        <f>IFERROR(IF(12&gt;입력!B6*12,"",ROUND(E12*입력!B5/100/12,0)),0)</f>
        <v/>
      </c>
      <c r="E13" s="9">
        <f>IFERROR(IF(12&gt;입력!B6*12,"",E12-C13),0)</f>
        <v/>
      </c>
    </row>
    <row r="14">
      <c r="A14" s="8" t="n">
        <v>13</v>
      </c>
      <c r="B14" s="9">
        <f>IFERROR(IF(13&gt;입력!B6*12,"",IF(입력!B7="원리금균등",ROUND(-PMT(입력!B5/100/12,입력!B6*12,입력!B4),0),ROUND(입력!B4/(입력!B6*12)+E14*입력!B5/100/12,0))),0)</f>
        <v/>
      </c>
      <c r="C14" s="9">
        <f>IFERROR(IF(13&gt;입력!B6*12,"",B14-D14),0)</f>
        <v/>
      </c>
      <c r="D14" s="9">
        <f>IFERROR(IF(13&gt;입력!B6*12,"",ROUND(E13*입력!B5/100/12,0)),0)</f>
        <v/>
      </c>
      <c r="E14" s="9">
        <f>IFERROR(IF(13&gt;입력!B6*12,"",E13-C14),0)</f>
        <v/>
      </c>
    </row>
    <row r="15">
      <c r="A15" s="8" t="n">
        <v>14</v>
      </c>
      <c r="B15" s="9">
        <f>IFERROR(IF(14&gt;입력!B6*12,"",IF(입력!B7="원리금균등",ROUND(-PMT(입력!B5/100/12,입력!B6*12,입력!B4),0),ROUND(입력!B4/(입력!B6*12)+E15*입력!B5/100/12,0))),0)</f>
        <v/>
      </c>
      <c r="C15" s="9">
        <f>IFERROR(IF(14&gt;입력!B6*12,"",B15-D15),0)</f>
        <v/>
      </c>
      <c r="D15" s="9">
        <f>IFERROR(IF(14&gt;입력!B6*12,"",ROUND(E14*입력!B5/100/12,0)),0)</f>
        <v/>
      </c>
      <c r="E15" s="9">
        <f>IFERROR(IF(14&gt;입력!B6*12,"",E14-C15),0)</f>
        <v/>
      </c>
    </row>
    <row r="16">
      <c r="A16" s="8" t="n">
        <v>15</v>
      </c>
      <c r="B16" s="9">
        <f>IFERROR(IF(15&gt;입력!B6*12,"",IF(입력!B7="원리금균등",ROUND(-PMT(입력!B5/100/12,입력!B6*12,입력!B4),0),ROUND(입력!B4/(입력!B6*12)+E16*입력!B5/100/12,0))),0)</f>
        <v/>
      </c>
      <c r="C16" s="9">
        <f>IFERROR(IF(15&gt;입력!B6*12,"",B16-D16),0)</f>
        <v/>
      </c>
      <c r="D16" s="9">
        <f>IFERROR(IF(15&gt;입력!B6*12,"",ROUND(E15*입력!B5/100/12,0)),0)</f>
        <v/>
      </c>
      <c r="E16" s="9">
        <f>IFERROR(IF(15&gt;입력!B6*12,"",E15-C16),0)</f>
        <v/>
      </c>
    </row>
    <row r="17">
      <c r="A17" s="8" t="n">
        <v>16</v>
      </c>
      <c r="B17" s="9">
        <f>IFERROR(IF(16&gt;입력!B6*12,"",IF(입력!B7="원리금균등",ROUND(-PMT(입력!B5/100/12,입력!B6*12,입력!B4),0),ROUND(입력!B4/(입력!B6*12)+E17*입력!B5/100/12,0))),0)</f>
        <v/>
      </c>
      <c r="C17" s="9">
        <f>IFERROR(IF(16&gt;입력!B6*12,"",B17-D17),0)</f>
        <v/>
      </c>
      <c r="D17" s="9">
        <f>IFERROR(IF(16&gt;입력!B6*12,"",ROUND(E16*입력!B5/100/12,0)),0)</f>
        <v/>
      </c>
      <c r="E17" s="9">
        <f>IFERROR(IF(16&gt;입력!B6*12,"",E16-C17),0)</f>
        <v/>
      </c>
    </row>
    <row r="18">
      <c r="A18" s="8" t="n">
        <v>17</v>
      </c>
      <c r="B18" s="9">
        <f>IFERROR(IF(17&gt;입력!B6*12,"",IF(입력!B7="원리금균등",ROUND(-PMT(입력!B5/100/12,입력!B6*12,입력!B4),0),ROUND(입력!B4/(입력!B6*12)+E18*입력!B5/100/12,0))),0)</f>
        <v/>
      </c>
      <c r="C18" s="9">
        <f>IFERROR(IF(17&gt;입력!B6*12,"",B18-D18),0)</f>
        <v/>
      </c>
      <c r="D18" s="9">
        <f>IFERROR(IF(17&gt;입력!B6*12,"",ROUND(E17*입력!B5/100/12,0)),0)</f>
        <v/>
      </c>
      <c r="E18" s="9">
        <f>IFERROR(IF(17&gt;입력!B6*12,"",E17-C18),0)</f>
        <v/>
      </c>
    </row>
    <row r="19">
      <c r="A19" s="8" t="n">
        <v>18</v>
      </c>
      <c r="B19" s="9">
        <f>IFERROR(IF(18&gt;입력!B6*12,"",IF(입력!B7="원리금균등",ROUND(-PMT(입력!B5/100/12,입력!B6*12,입력!B4),0),ROUND(입력!B4/(입력!B6*12)+E19*입력!B5/100/12,0))),0)</f>
        <v/>
      </c>
      <c r="C19" s="9">
        <f>IFERROR(IF(18&gt;입력!B6*12,"",B19-D19),0)</f>
        <v/>
      </c>
      <c r="D19" s="9">
        <f>IFERROR(IF(18&gt;입력!B6*12,"",ROUND(E18*입력!B5/100/12,0)),0)</f>
        <v/>
      </c>
      <c r="E19" s="9">
        <f>IFERROR(IF(18&gt;입력!B6*12,"",E18-C19),0)</f>
        <v/>
      </c>
    </row>
    <row r="20">
      <c r="A20" s="8" t="n">
        <v>19</v>
      </c>
      <c r="B20" s="9">
        <f>IFERROR(IF(19&gt;입력!B6*12,"",IF(입력!B7="원리금균등",ROUND(-PMT(입력!B5/100/12,입력!B6*12,입력!B4),0),ROUND(입력!B4/(입력!B6*12)+E20*입력!B5/100/12,0))),0)</f>
        <v/>
      </c>
      <c r="C20" s="9">
        <f>IFERROR(IF(19&gt;입력!B6*12,"",B20-D20),0)</f>
        <v/>
      </c>
      <c r="D20" s="9">
        <f>IFERROR(IF(19&gt;입력!B6*12,"",ROUND(E19*입력!B5/100/12,0)),0)</f>
        <v/>
      </c>
      <c r="E20" s="9">
        <f>IFERROR(IF(19&gt;입력!B6*12,"",E19-C20),0)</f>
        <v/>
      </c>
    </row>
    <row r="21">
      <c r="A21" s="8" t="n">
        <v>20</v>
      </c>
      <c r="B21" s="9">
        <f>IFERROR(IF(20&gt;입력!B6*12,"",IF(입력!B7="원리금균등",ROUND(-PMT(입력!B5/100/12,입력!B6*12,입력!B4),0),ROUND(입력!B4/(입력!B6*12)+E21*입력!B5/100/12,0))),0)</f>
        <v/>
      </c>
      <c r="C21" s="9">
        <f>IFERROR(IF(20&gt;입력!B6*12,"",B21-D21),0)</f>
        <v/>
      </c>
      <c r="D21" s="9">
        <f>IFERROR(IF(20&gt;입력!B6*12,"",ROUND(E20*입력!B5/100/12,0)),0)</f>
        <v/>
      </c>
      <c r="E21" s="9">
        <f>IFERROR(IF(20&gt;입력!B6*12,"",E20-C21),0)</f>
        <v/>
      </c>
    </row>
    <row r="22">
      <c r="A22" s="8" t="n">
        <v>21</v>
      </c>
      <c r="B22" s="9">
        <f>IFERROR(IF(21&gt;입력!B6*12,"",IF(입력!B7="원리금균등",ROUND(-PMT(입력!B5/100/12,입력!B6*12,입력!B4),0),ROUND(입력!B4/(입력!B6*12)+E22*입력!B5/100/12,0))),0)</f>
        <v/>
      </c>
      <c r="C22" s="9">
        <f>IFERROR(IF(21&gt;입력!B6*12,"",B22-D22),0)</f>
        <v/>
      </c>
      <c r="D22" s="9">
        <f>IFERROR(IF(21&gt;입력!B6*12,"",ROUND(E21*입력!B5/100/12,0)),0)</f>
        <v/>
      </c>
      <c r="E22" s="9">
        <f>IFERROR(IF(21&gt;입력!B6*12,"",E21-C22),0)</f>
        <v/>
      </c>
    </row>
    <row r="23">
      <c r="A23" s="8" t="n">
        <v>22</v>
      </c>
      <c r="B23" s="9">
        <f>IFERROR(IF(22&gt;입력!B6*12,"",IF(입력!B7="원리금균등",ROUND(-PMT(입력!B5/100/12,입력!B6*12,입력!B4),0),ROUND(입력!B4/(입력!B6*12)+E23*입력!B5/100/12,0))),0)</f>
        <v/>
      </c>
      <c r="C23" s="9">
        <f>IFERROR(IF(22&gt;입력!B6*12,"",B23-D23),0)</f>
        <v/>
      </c>
      <c r="D23" s="9">
        <f>IFERROR(IF(22&gt;입력!B6*12,"",ROUND(E22*입력!B5/100/12,0)),0)</f>
        <v/>
      </c>
      <c r="E23" s="9">
        <f>IFERROR(IF(22&gt;입력!B6*12,"",E22-C23),0)</f>
        <v/>
      </c>
    </row>
    <row r="24">
      <c r="A24" s="8" t="n">
        <v>23</v>
      </c>
      <c r="B24" s="9">
        <f>IFERROR(IF(23&gt;입력!B6*12,"",IF(입력!B7="원리금균등",ROUND(-PMT(입력!B5/100/12,입력!B6*12,입력!B4),0),ROUND(입력!B4/(입력!B6*12)+E24*입력!B5/100/12,0))),0)</f>
        <v/>
      </c>
      <c r="C24" s="9">
        <f>IFERROR(IF(23&gt;입력!B6*12,"",B24-D24),0)</f>
        <v/>
      </c>
      <c r="D24" s="9">
        <f>IFERROR(IF(23&gt;입력!B6*12,"",ROUND(E23*입력!B5/100/12,0)),0)</f>
        <v/>
      </c>
      <c r="E24" s="9">
        <f>IFERROR(IF(23&gt;입력!B6*12,"",E23-C24),0)</f>
        <v/>
      </c>
    </row>
    <row r="25">
      <c r="A25" s="8" t="n">
        <v>24</v>
      </c>
      <c r="B25" s="9">
        <f>IFERROR(IF(24&gt;입력!B6*12,"",IF(입력!B7="원리금균등",ROUND(-PMT(입력!B5/100/12,입력!B6*12,입력!B4),0),ROUND(입력!B4/(입력!B6*12)+E25*입력!B5/100/12,0))),0)</f>
        <v/>
      </c>
      <c r="C25" s="9">
        <f>IFERROR(IF(24&gt;입력!B6*12,"",B25-D25),0)</f>
        <v/>
      </c>
      <c r="D25" s="9">
        <f>IFERROR(IF(24&gt;입력!B6*12,"",ROUND(E24*입력!B5/100/12,0)),0)</f>
        <v/>
      </c>
      <c r="E25" s="9">
        <f>IFERROR(IF(24&gt;입력!B6*12,"",E24-C25),0)</f>
        <v/>
      </c>
    </row>
    <row r="26">
      <c r="A26" s="8" t="n">
        <v>25</v>
      </c>
      <c r="B26" s="9">
        <f>IFERROR(IF(25&gt;입력!B6*12,"",IF(입력!B7="원리금균등",ROUND(-PMT(입력!B5/100/12,입력!B6*12,입력!B4),0),ROUND(입력!B4/(입력!B6*12)+E26*입력!B5/100/12,0))),0)</f>
        <v/>
      </c>
      <c r="C26" s="9">
        <f>IFERROR(IF(25&gt;입력!B6*12,"",B26-D26),0)</f>
        <v/>
      </c>
      <c r="D26" s="9">
        <f>IFERROR(IF(25&gt;입력!B6*12,"",ROUND(E25*입력!B5/100/12,0)),0)</f>
        <v/>
      </c>
      <c r="E26" s="9">
        <f>IFERROR(IF(25&gt;입력!B6*12,"",E25-C26),0)</f>
        <v/>
      </c>
    </row>
    <row r="27">
      <c r="A27" s="8" t="n">
        <v>26</v>
      </c>
      <c r="B27" s="9">
        <f>IFERROR(IF(26&gt;입력!B6*12,"",IF(입력!B7="원리금균등",ROUND(-PMT(입력!B5/100/12,입력!B6*12,입력!B4),0),ROUND(입력!B4/(입력!B6*12)+E27*입력!B5/100/12,0))),0)</f>
        <v/>
      </c>
      <c r="C27" s="9">
        <f>IFERROR(IF(26&gt;입력!B6*12,"",B27-D27),0)</f>
        <v/>
      </c>
      <c r="D27" s="9">
        <f>IFERROR(IF(26&gt;입력!B6*12,"",ROUND(E26*입력!B5/100/12,0)),0)</f>
        <v/>
      </c>
      <c r="E27" s="9">
        <f>IFERROR(IF(26&gt;입력!B6*12,"",E26-C27),0)</f>
        <v/>
      </c>
    </row>
    <row r="28">
      <c r="A28" s="8" t="n">
        <v>27</v>
      </c>
      <c r="B28" s="9">
        <f>IFERROR(IF(27&gt;입력!B6*12,"",IF(입력!B7="원리금균등",ROUND(-PMT(입력!B5/100/12,입력!B6*12,입력!B4),0),ROUND(입력!B4/(입력!B6*12)+E28*입력!B5/100/12,0))),0)</f>
        <v/>
      </c>
      <c r="C28" s="9">
        <f>IFERROR(IF(27&gt;입력!B6*12,"",B28-D28),0)</f>
        <v/>
      </c>
      <c r="D28" s="9">
        <f>IFERROR(IF(27&gt;입력!B6*12,"",ROUND(E27*입력!B5/100/12,0)),0)</f>
        <v/>
      </c>
      <c r="E28" s="9">
        <f>IFERROR(IF(27&gt;입력!B6*12,"",E27-C28),0)</f>
        <v/>
      </c>
    </row>
    <row r="29">
      <c r="A29" s="8" t="n">
        <v>28</v>
      </c>
      <c r="B29" s="9">
        <f>IFERROR(IF(28&gt;입력!B6*12,"",IF(입력!B7="원리금균등",ROUND(-PMT(입력!B5/100/12,입력!B6*12,입력!B4),0),ROUND(입력!B4/(입력!B6*12)+E29*입력!B5/100/12,0))),0)</f>
        <v/>
      </c>
      <c r="C29" s="9">
        <f>IFERROR(IF(28&gt;입력!B6*12,"",B29-D29),0)</f>
        <v/>
      </c>
      <c r="D29" s="9">
        <f>IFERROR(IF(28&gt;입력!B6*12,"",ROUND(E28*입력!B5/100/12,0)),0)</f>
        <v/>
      </c>
      <c r="E29" s="9">
        <f>IFERROR(IF(28&gt;입력!B6*12,"",E28-C29),0)</f>
        <v/>
      </c>
    </row>
    <row r="30">
      <c r="A30" s="8" t="n">
        <v>29</v>
      </c>
      <c r="B30" s="9">
        <f>IFERROR(IF(29&gt;입력!B6*12,"",IF(입력!B7="원리금균등",ROUND(-PMT(입력!B5/100/12,입력!B6*12,입력!B4),0),ROUND(입력!B4/(입력!B6*12)+E30*입력!B5/100/12,0))),0)</f>
        <v/>
      </c>
      <c r="C30" s="9">
        <f>IFERROR(IF(29&gt;입력!B6*12,"",B30-D30),0)</f>
        <v/>
      </c>
      <c r="D30" s="9">
        <f>IFERROR(IF(29&gt;입력!B6*12,"",ROUND(E29*입력!B5/100/12,0)),0)</f>
        <v/>
      </c>
      <c r="E30" s="9">
        <f>IFERROR(IF(29&gt;입력!B6*12,"",E29-C30),0)</f>
        <v/>
      </c>
    </row>
    <row r="31">
      <c r="A31" s="8" t="n">
        <v>30</v>
      </c>
      <c r="B31" s="9">
        <f>IFERROR(IF(30&gt;입력!B6*12,"",IF(입력!B7="원리금균등",ROUND(-PMT(입력!B5/100/12,입력!B6*12,입력!B4),0),ROUND(입력!B4/(입력!B6*12)+E31*입력!B5/100/12,0))),0)</f>
        <v/>
      </c>
      <c r="C31" s="9">
        <f>IFERROR(IF(30&gt;입력!B6*12,"",B31-D31),0)</f>
        <v/>
      </c>
      <c r="D31" s="9">
        <f>IFERROR(IF(30&gt;입력!B6*12,"",ROUND(E30*입력!B5/100/12,0)),0)</f>
        <v/>
      </c>
      <c r="E31" s="9">
        <f>IFERROR(IF(30&gt;입력!B6*12,"",E30-C31),0)</f>
        <v/>
      </c>
    </row>
    <row r="32">
      <c r="A32" s="8" t="n">
        <v>31</v>
      </c>
      <c r="B32" s="9">
        <f>IFERROR(IF(31&gt;입력!B6*12,"",IF(입력!B7="원리금균등",ROUND(-PMT(입력!B5/100/12,입력!B6*12,입력!B4),0),ROUND(입력!B4/(입력!B6*12)+E32*입력!B5/100/12,0))),0)</f>
        <v/>
      </c>
      <c r="C32" s="9">
        <f>IFERROR(IF(31&gt;입력!B6*12,"",B32-D32),0)</f>
        <v/>
      </c>
      <c r="D32" s="9">
        <f>IFERROR(IF(31&gt;입력!B6*12,"",ROUND(E31*입력!B5/100/12,0)),0)</f>
        <v/>
      </c>
      <c r="E32" s="9">
        <f>IFERROR(IF(31&gt;입력!B6*12,"",E31-C32),0)</f>
        <v/>
      </c>
    </row>
    <row r="33">
      <c r="A33" s="8" t="n">
        <v>32</v>
      </c>
      <c r="B33" s="9">
        <f>IFERROR(IF(32&gt;입력!B6*12,"",IF(입력!B7="원리금균등",ROUND(-PMT(입력!B5/100/12,입력!B6*12,입력!B4),0),ROUND(입력!B4/(입력!B6*12)+E33*입력!B5/100/12,0))),0)</f>
        <v/>
      </c>
      <c r="C33" s="9">
        <f>IFERROR(IF(32&gt;입력!B6*12,"",B33-D33),0)</f>
        <v/>
      </c>
      <c r="D33" s="9">
        <f>IFERROR(IF(32&gt;입력!B6*12,"",ROUND(E32*입력!B5/100/12,0)),0)</f>
        <v/>
      </c>
      <c r="E33" s="9">
        <f>IFERROR(IF(32&gt;입력!B6*12,"",E32-C33),0)</f>
        <v/>
      </c>
    </row>
    <row r="34">
      <c r="A34" s="8" t="n">
        <v>33</v>
      </c>
      <c r="B34" s="9">
        <f>IFERROR(IF(33&gt;입력!B6*12,"",IF(입력!B7="원리금균등",ROUND(-PMT(입력!B5/100/12,입력!B6*12,입력!B4),0),ROUND(입력!B4/(입력!B6*12)+E34*입력!B5/100/12,0))),0)</f>
        <v/>
      </c>
      <c r="C34" s="9">
        <f>IFERROR(IF(33&gt;입력!B6*12,"",B34-D34),0)</f>
        <v/>
      </c>
      <c r="D34" s="9">
        <f>IFERROR(IF(33&gt;입력!B6*12,"",ROUND(E33*입력!B5/100/12,0)),0)</f>
        <v/>
      </c>
      <c r="E34" s="9">
        <f>IFERROR(IF(33&gt;입력!B6*12,"",E33-C34),0)</f>
        <v/>
      </c>
    </row>
    <row r="35">
      <c r="A35" s="8" t="n">
        <v>34</v>
      </c>
      <c r="B35" s="9">
        <f>IFERROR(IF(34&gt;입력!B6*12,"",IF(입력!B7="원리금균등",ROUND(-PMT(입력!B5/100/12,입력!B6*12,입력!B4),0),ROUND(입력!B4/(입력!B6*12)+E35*입력!B5/100/12,0))),0)</f>
        <v/>
      </c>
      <c r="C35" s="9">
        <f>IFERROR(IF(34&gt;입력!B6*12,"",B35-D35),0)</f>
        <v/>
      </c>
      <c r="D35" s="9">
        <f>IFERROR(IF(34&gt;입력!B6*12,"",ROUND(E34*입력!B5/100/12,0)),0)</f>
        <v/>
      </c>
      <c r="E35" s="9">
        <f>IFERROR(IF(34&gt;입력!B6*12,"",E34-C35),0)</f>
        <v/>
      </c>
    </row>
    <row r="36">
      <c r="A36" s="8" t="n">
        <v>35</v>
      </c>
      <c r="B36" s="9">
        <f>IFERROR(IF(35&gt;입력!B6*12,"",IF(입력!B7="원리금균등",ROUND(-PMT(입력!B5/100/12,입력!B6*12,입력!B4),0),ROUND(입력!B4/(입력!B6*12)+E36*입력!B5/100/12,0))),0)</f>
        <v/>
      </c>
      <c r="C36" s="9">
        <f>IFERROR(IF(35&gt;입력!B6*12,"",B36-D36),0)</f>
        <v/>
      </c>
      <c r="D36" s="9">
        <f>IFERROR(IF(35&gt;입력!B6*12,"",ROUND(E35*입력!B5/100/12,0)),0)</f>
        <v/>
      </c>
      <c r="E36" s="9">
        <f>IFERROR(IF(35&gt;입력!B6*12,"",E35-C36),0)</f>
        <v/>
      </c>
    </row>
    <row r="37">
      <c r="A37" s="8" t="n">
        <v>36</v>
      </c>
      <c r="B37" s="9">
        <f>IFERROR(IF(36&gt;입력!B6*12,"",IF(입력!B7="원리금균등",ROUND(-PMT(입력!B5/100/12,입력!B6*12,입력!B4),0),ROUND(입력!B4/(입력!B6*12)+E37*입력!B5/100/12,0))),0)</f>
        <v/>
      </c>
      <c r="C37" s="9">
        <f>IFERROR(IF(36&gt;입력!B6*12,"",B37-D37),0)</f>
        <v/>
      </c>
      <c r="D37" s="9">
        <f>IFERROR(IF(36&gt;입력!B6*12,"",ROUND(E36*입력!B5/100/12,0)),0)</f>
        <v/>
      </c>
      <c r="E37" s="9">
        <f>IFERROR(IF(36&gt;입력!B6*12,"",E36-C37),0)</f>
        <v/>
      </c>
    </row>
    <row r="38">
      <c r="A38" s="8" t="n">
        <v>37</v>
      </c>
      <c r="B38" s="9">
        <f>IFERROR(IF(37&gt;입력!B6*12,"",IF(입력!B7="원리금균등",ROUND(-PMT(입력!B5/100/12,입력!B6*12,입력!B4),0),ROUND(입력!B4/(입력!B6*12)+E38*입력!B5/100/12,0))),0)</f>
        <v/>
      </c>
      <c r="C38" s="9">
        <f>IFERROR(IF(37&gt;입력!B6*12,"",B38-D38),0)</f>
        <v/>
      </c>
      <c r="D38" s="9">
        <f>IFERROR(IF(37&gt;입력!B6*12,"",ROUND(E37*입력!B5/100/12,0)),0)</f>
        <v/>
      </c>
      <c r="E38" s="9">
        <f>IFERROR(IF(37&gt;입력!B6*12,"",E37-C38),0)</f>
        <v/>
      </c>
    </row>
    <row r="39">
      <c r="A39" s="8" t="n">
        <v>38</v>
      </c>
      <c r="B39" s="9">
        <f>IFERROR(IF(38&gt;입력!B6*12,"",IF(입력!B7="원리금균등",ROUND(-PMT(입력!B5/100/12,입력!B6*12,입력!B4),0),ROUND(입력!B4/(입력!B6*12)+E39*입력!B5/100/12,0))),0)</f>
        <v/>
      </c>
      <c r="C39" s="9">
        <f>IFERROR(IF(38&gt;입력!B6*12,"",B39-D39),0)</f>
        <v/>
      </c>
      <c r="D39" s="9">
        <f>IFERROR(IF(38&gt;입력!B6*12,"",ROUND(E38*입력!B5/100/12,0)),0)</f>
        <v/>
      </c>
      <c r="E39" s="9">
        <f>IFERROR(IF(38&gt;입력!B6*12,"",E38-C39),0)</f>
        <v/>
      </c>
    </row>
    <row r="40">
      <c r="A40" s="8" t="n">
        <v>39</v>
      </c>
      <c r="B40" s="9">
        <f>IFERROR(IF(39&gt;입력!B6*12,"",IF(입력!B7="원리금균등",ROUND(-PMT(입력!B5/100/12,입력!B6*12,입력!B4),0),ROUND(입력!B4/(입력!B6*12)+E40*입력!B5/100/12,0))),0)</f>
        <v/>
      </c>
      <c r="C40" s="9">
        <f>IFERROR(IF(39&gt;입력!B6*12,"",B40-D40),0)</f>
        <v/>
      </c>
      <c r="D40" s="9">
        <f>IFERROR(IF(39&gt;입력!B6*12,"",ROUND(E39*입력!B5/100/12,0)),0)</f>
        <v/>
      </c>
      <c r="E40" s="9">
        <f>IFERROR(IF(39&gt;입력!B6*12,"",E39-C40),0)</f>
        <v/>
      </c>
    </row>
    <row r="41">
      <c r="A41" s="8" t="n">
        <v>40</v>
      </c>
      <c r="B41" s="9">
        <f>IFERROR(IF(40&gt;입력!B6*12,"",IF(입력!B7="원리금균등",ROUND(-PMT(입력!B5/100/12,입력!B6*12,입력!B4),0),ROUND(입력!B4/(입력!B6*12)+E41*입력!B5/100/12,0))),0)</f>
        <v/>
      </c>
      <c r="C41" s="9">
        <f>IFERROR(IF(40&gt;입력!B6*12,"",B41-D41),0)</f>
        <v/>
      </c>
      <c r="D41" s="9">
        <f>IFERROR(IF(40&gt;입력!B6*12,"",ROUND(E40*입력!B5/100/12,0)),0)</f>
        <v/>
      </c>
      <c r="E41" s="9">
        <f>IFERROR(IF(40&gt;입력!B6*12,"",E40-C41),0)</f>
        <v/>
      </c>
    </row>
    <row r="42">
      <c r="A42" s="8" t="n">
        <v>41</v>
      </c>
      <c r="B42" s="9">
        <f>IFERROR(IF(41&gt;입력!B6*12,"",IF(입력!B7="원리금균등",ROUND(-PMT(입력!B5/100/12,입력!B6*12,입력!B4),0),ROUND(입력!B4/(입력!B6*12)+E42*입력!B5/100/12,0))),0)</f>
        <v/>
      </c>
      <c r="C42" s="9">
        <f>IFERROR(IF(41&gt;입력!B6*12,"",B42-D42),0)</f>
        <v/>
      </c>
      <c r="D42" s="9">
        <f>IFERROR(IF(41&gt;입력!B6*12,"",ROUND(E41*입력!B5/100/12,0)),0)</f>
        <v/>
      </c>
      <c r="E42" s="9">
        <f>IFERROR(IF(41&gt;입력!B6*12,"",E41-C42),0)</f>
        <v/>
      </c>
    </row>
    <row r="43">
      <c r="A43" s="8" t="n">
        <v>42</v>
      </c>
      <c r="B43" s="9">
        <f>IFERROR(IF(42&gt;입력!B6*12,"",IF(입력!B7="원리금균등",ROUND(-PMT(입력!B5/100/12,입력!B6*12,입력!B4),0),ROUND(입력!B4/(입력!B6*12)+E43*입력!B5/100/12,0))),0)</f>
        <v/>
      </c>
      <c r="C43" s="9">
        <f>IFERROR(IF(42&gt;입력!B6*12,"",B43-D43),0)</f>
        <v/>
      </c>
      <c r="D43" s="9">
        <f>IFERROR(IF(42&gt;입력!B6*12,"",ROUND(E42*입력!B5/100/12,0)),0)</f>
        <v/>
      </c>
      <c r="E43" s="9">
        <f>IFERROR(IF(42&gt;입력!B6*12,"",E42-C43),0)</f>
        <v/>
      </c>
    </row>
    <row r="44">
      <c r="A44" s="8" t="n">
        <v>43</v>
      </c>
      <c r="B44" s="9">
        <f>IFERROR(IF(43&gt;입력!B6*12,"",IF(입력!B7="원리금균등",ROUND(-PMT(입력!B5/100/12,입력!B6*12,입력!B4),0),ROUND(입력!B4/(입력!B6*12)+E44*입력!B5/100/12,0))),0)</f>
        <v/>
      </c>
      <c r="C44" s="9">
        <f>IFERROR(IF(43&gt;입력!B6*12,"",B44-D44),0)</f>
        <v/>
      </c>
      <c r="D44" s="9">
        <f>IFERROR(IF(43&gt;입력!B6*12,"",ROUND(E43*입력!B5/100/12,0)),0)</f>
        <v/>
      </c>
      <c r="E44" s="9">
        <f>IFERROR(IF(43&gt;입력!B6*12,"",E43-C44),0)</f>
        <v/>
      </c>
    </row>
    <row r="45">
      <c r="A45" s="8" t="n">
        <v>44</v>
      </c>
      <c r="B45" s="9">
        <f>IFERROR(IF(44&gt;입력!B6*12,"",IF(입력!B7="원리금균등",ROUND(-PMT(입력!B5/100/12,입력!B6*12,입력!B4),0),ROUND(입력!B4/(입력!B6*12)+E45*입력!B5/100/12,0))),0)</f>
        <v/>
      </c>
      <c r="C45" s="9">
        <f>IFERROR(IF(44&gt;입력!B6*12,"",B45-D45),0)</f>
        <v/>
      </c>
      <c r="D45" s="9">
        <f>IFERROR(IF(44&gt;입력!B6*12,"",ROUND(E44*입력!B5/100/12,0)),0)</f>
        <v/>
      </c>
      <c r="E45" s="9">
        <f>IFERROR(IF(44&gt;입력!B6*12,"",E44-C45),0)</f>
        <v/>
      </c>
    </row>
    <row r="46">
      <c r="A46" s="8" t="n">
        <v>45</v>
      </c>
      <c r="B46" s="9">
        <f>IFERROR(IF(45&gt;입력!B6*12,"",IF(입력!B7="원리금균등",ROUND(-PMT(입력!B5/100/12,입력!B6*12,입력!B4),0),ROUND(입력!B4/(입력!B6*12)+E46*입력!B5/100/12,0))),0)</f>
        <v/>
      </c>
      <c r="C46" s="9">
        <f>IFERROR(IF(45&gt;입력!B6*12,"",B46-D46),0)</f>
        <v/>
      </c>
      <c r="D46" s="9">
        <f>IFERROR(IF(45&gt;입력!B6*12,"",ROUND(E45*입력!B5/100/12,0)),0)</f>
        <v/>
      </c>
      <c r="E46" s="9">
        <f>IFERROR(IF(45&gt;입력!B6*12,"",E45-C46),0)</f>
        <v/>
      </c>
    </row>
    <row r="47">
      <c r="A47" s="8" t="n">
        <v>46</v>
      </c>
      <c r="B47" s="9">
        <f>IFERROR(IF(46&gt;입력!B6*12,"",IF(입력!B7="원리금균등",ROUND(-PMT(입력!B5/100/12,입력!B6*12,입력!B4),0),ROUND(입력!B4/(입력!B6*12)+E47*입력!B5/100/12,0))),0)</f>
        <v/>
      </c>
      <c r="C47" s="9">
        <f>IFERROR(IF(46&gt;입력!B6*12,"",B47-D47),0)</f>
        <v/>
      </c>
      <c r="D47" s="9">
        <f>IFERROR(IF(46&gt;입력!B6*12,"",ROUND(E46*입력!B5/100/12,0)),0)</f>
        <v/>
      </c>
      <c r="E47" s="9">
        <f>IFERROR(IF(46&gt;입력!B6*12,"",E46-C47),0)</f>
        <v/>
      </c>
    </row>
    <row r="48">
      <c r="A48" s="8" t="n">
        <v>47</v>
      </c>
      <c r="B48" s="9">
        <f>IFERROR(IF(47&gt;입력!B6*12,"",IF(입력!B7="원리금균등",ROUND(-PMT(입력!B5/100/12,입력!B6*12,입력!B4),0),ROUND(입력!B4/(입력!B6*12)+E48*입력!B5/100/12,0))),0)</f>
        <v/>
      </c>
      <c r="C48" s="9">
        <f>IFERROR(IF(47&gt;입력!B6*12,"",B48-D48),0)</f>
        <v/>
      </c>
      <c r="D48" s="9">
        <f>IFERROR(IF(47&gt;입력!B6*12,"",ROUND(E47*입력!B5/100/12,0)),0)</f>
        <v/>
      </c>
      <c r="E48" s="9">
        <f>IFERROR(IF(47&gt;입력!B6*12,"",E47-C48),0)</f>
        <v/>
      </c>
    </row>
    <row r="49">
      <c r="A49" s="8" t="n">
        <v>48</v>
      </c>
      <c r="B49" s="9">
        <f>IFERROR(IF(48&gt;입력!B6*12,"",IF(입력!B7="원리금균등",ROUND(-PMT(입력!B5/100/12,입력!B6*12,입력!B4),0),ROUND(입력!B4/(입력!B6*12)+E49*입력!B5/100/12,0))),0)</f>
        <v/>
      </c>
      <c r="C49" s="9">
        <f>IFERROR(IF(48&gt;입력!B6*12,"",B49-D49),0)</f>
        <v/>
      </c>
      <c r="D49" s="9">
        <f>IFERROR(IF(48&gt;입력!B6*12,"",ROUND(E48*입력!B5/100/12,0)),0)</f>
        <v/>
      </c>
      <c r="E49" s="9">
        <f>IFERROR(IF(48&gt;입력!B6*12,"",E48-C49),0)</f>
        <v/>
      </c>
    </row>
    <row r="50">
      <c r="A50" s="8" t="n">
        <v>49</v>
      </c>
      <c r="B50" s="9">
        <f>IFERROR(IF(49&gt;입력!B6*12,"",IF(입력!B7="원리금균등",ROUND(-PMT(입력!B5/100/12,입력!B6*12,입력!B4),0),ROUND(입력!B4/(입력!B6*12)+E50*입력!B5/100/12,0))),0)</f>
        <v/>
      </c>
      <c r="C50" s="9">
        <f>IFERROR(IF(49&gt;입력!B6*12,"",B50-D50),0)</f>
        <v/>
      </c>
      <c r="D50" s="9">
        <f>IFERROR(IF(49&gt;입력!B6*12,"",ROUND(E49*입력!B5/100/12,0)),0)</f>
        <v/>
      </c>
      <c r="E50" s="9">
        <f>IFERROR(IF(49&gt;입력!B6*12,"",E49-C50),0)</f>
        <v/>
      </c>
    </row>
    <row r="51">
      <c r="A51" s="8" t="n">
        <v>50</v>
      </c>
      <c r="B51" s="9">
        <f>IFERROR(IF(50&gt;입력!B6*12,"",IF(입력!B7="원리금균등",ROUND(-PMT(입력!B5/100/12,입력!B6*12,입력!B4),0),ROUND(입력!B4/(입력!B6*12)+E51*입력!B5/100/12,0))),0)</f>
        <v/>
      </c>
      <c r="C51" s="9">
        <f>IFERROR(IF(50&gt;입력!B6*12,"",B51-D51),0)</f>
        <v/>
      </c>
      <c r="D51" s="9">
        <f>IFERROR(IF(50&gt;입력!B6*12,"",ROUND(E50*입력!B5/100/12,0)),0)</f>
        <v/>
      </c>
      <c r="E51" s="9">
        <f>IFERROR(IF(50&gt;입력!B6*12,"",E50-C51),0)</f>
        <v/>
      </c>
    </row>
    <row r="52">
      <c r="A52" s="8" t="n">
        <v>51</v>
      </c>
      <c r="B52" s="9">
        <f>IFERROR(IF(51&gt;입력!B6*12,"",IF(입력!B7="원리금균등",ROUND(-PMT(입력!B5/100/12,입력!B6*12,입력!B4),0),ROUND(입력!B4/(입력!B6*12)+E52*입력!B5/100/12,0))),0)</f>
        <v/>
      </c>
      <c r="C52" s="9">
        <f>IFERROR(IF(51&gt;입력!B6*12,"",B52-D52),0)</f>
        <v/>
      </c>
      <c r="D52" s="9">
        <f>IFERROR(IF(51&gt;입력!B6*12,"",ROUND(E51*입력!B5/100/12,0)),0)</f>
        <v/>
      </c>
      <c r="E52" s="9">
        <f>IFERROR(IF(51&gt;입력!B6*12,"",E51-C52),0)</f>
        <v/>
      </c>
    </row>
    <row r="53">
      <c r="A53" s="8" t="n">
        <v>52</v>
      </c>
      <c r="B53" s="9">
        <f>IFERROR(IF(52&gt;입력!B6*12,"",IF(입력!B7="원리금균등",ROUND(-PMT(입력!B5/100/12,입력!B6*12,입력!B4),0),ROUND(입력!B4/(입력!B6*12)+E53*입력!B5/100/12,0))),0)</f>
        <v/>
      </c>
      <c r="C53" s="9">
        <f>IFERROR(IF(52&gt;입력!B6*12,"",B53-D53),0)</f>
        <v/>
      </c>
      <c r="D53" s="9">
        <f>IFERROR(IF(52&gt;입력!B6*12,"",ROUND(E52*입력!B5/100/12,0)),0)</f>
        <v/>
      </c>
      <c r="E53" s="9">
        <f>IFERROR(IF(52&gt;입력!B6*12,"",E52-C53),0)</f>
        <v/>
      </c>
    </row>
    <row r="54">
      <c r="A54" s="8" t="n">
        <v>53</v>
      </c>
      <c r="B54" s="9">
        <f>IFERROR(IF(53&gt;입력!B6*12,"",IF(입력!B7="원리금균등",ROUND(-PMT(입력!B5/100/12,입력!B6*12,입력!B4),0),ROUND(입력!B4/(입력!B6*12)+E54*입력!B5/100/12,0))),0)</f>
        <v/>
      </c>
      <c r="C54" s="9">
        <f>IFERROR(IF(53&gt;입력!B6*12,"",B54-D54),0)</f>
        <v/>
      </c>
      <c r="D54" s="9">
        <f>IFERROR(IF(53&gt;입력!B6*12,"",ROUND(E53*입력!B5/100/12,0)),0)</f>
        <v/>
      </c>
      <c r="E54" s="9">
        <f>IFERROR(IF(53&gt;입력!B6*12,"",E53-C54),0)</f>
        <v/>
      </c>
    </row>
    <row r="55">
      <c r="A55" s="8" t="n">
        <v>54</v>
      </c>
      <c r="B55" s="9">
        <f>IFERROR(IF(54&gt;입력!B6*12,"",IF(입력!B7="원리금균등",ROUND(-PMT(입력!B5/100/12,입력!B6*12,입력!B4),0),ROUND(입력!B4/(입력!B6*12)+E55*입력!B5/100/12,0))),0)</f>
        <v/>
      </c>
      <c r="C55" s="9">
        <f>IFERROR(IF(54&gt;입력!B6*12,"",B55-D55),0)</f>
        <v/>
      </c>
      <c r="D55" s="9">
        <f>IFERROR(IF(54&gt;입력!B6*12,"",ROUND(E54*입력!B5/100/12,0)),0)</f>
        <v/>
      </c>
      <c r="E55" s="9">
        <f>IFERROR(IF(54&gt;입력!B6*12,"",E54-C55),0)</f>
        <v/>
      </c>
    </row>
    <row r="56">
      <c r="A56" s="8" t="n">
        <v>55</v>
      </c>
      <c r="B56" s="9">
        <f>IFERROR(IF(55&gt;입력!B6*12,"",IF(입력!B7="원리금균등",ROUND(-PMT(입력!B5/100/12,입력!B6*12,입력!B4),0),ROUND(입력!B4/(입력!B6*12)+E56*입력!B5/100/12,0))),0)</f>
        <v/>
      </c>
      <c r="C56" s="9">
        <f>IFERROR(IF(55&gt;입력!B6*12,"",B56-D56),0)</f>
        <v/>
      </c>
      <c r="D56" s="9">
        <f>IFERROR(IF(55&gt;입력!B6*12,"",ROUND(E55*입력!B5/100/12,0)),0)</f>
        <v/>
      </c>
      <c r="E56" s="9">
        <f>IFERROR(IF(55&gt;입력!B6*12,"",E55-C56),0)</f>
        <v/>
      </c>
    </row>
    <row r="57">
      <c r="A57" s="8" t="n">
        <v>56</v>
      </c>
      <c r="B57" s="9">
        <f>IFERROR(IF(56&gt;입력!B6*12,"",IF(입력!B7="원리금균등",ROUND(-PMT(입력!B5/100/12,입력!B6*12,입력!B4),0),ROUND(입력!B4/(입력!B6*12)+E57*입력!B5/100/12,0))),0)</f>
        <v/>
      </c>
      <c r="C57" s="9">
        <f>IFERROR(IF(56&gt;입력!B6*12,"",B57-D57),0)</f>
        <v/>
      </c>
      <c r="D57" s="9">
        <f>IFERROR(IF(56&gt;입력!B6*12,"",ROUND(E56*입력!B5/100/12,0)),0)</f>
        <v/>
      </c>
      <c r="E57" s="9">
        <f>IFERROR(IF(56&gt;입력!B6*12,"",E56-C57),0)</f>
        <v/>
      </c>
    </row>
    <row r="58">
      <c r="A58" s="8" t="n">
        <v>57</v>
      </c>
      <c r="B58" s="9">
        <f>IFERROR(IF(57&gt;입력!B6*12,"",IF(입력!B7="원리금균등",ROUND(-PMT(입력!B5/100/12,입력!B6*12,입력!B4),0),ROUND(입력!B4/(입력!B6*12)+E58*입력!B5/100/12,0))),0)</f>
        <v/>
      </c>
      <c r="C58" s="9">
        <f>IFERROR(IF(57&gt;입력!B6*12,"",B58-D58),0)</f>
        <v/>
      </c>
      <c r="D58" s="9">
        <f>IFERROR(IF(57&gt;입력!B6*12,"",ROUND(E57*입력!B5/100/12,0)),0)</f>
        <v/>
      </c>
      <c r="E58" s="9">
        <f>IFERROR(IF(57&gt;입력!B6*12,"",E57-C58),0)</f>
        <v/>
      </c>
    </row>
    <row r="59">
      <c r="A59" s="8" t="n">
        <v>58</v>
      </c>
      <c r="B59" s="9">
        <f>IFERROR(IF(58&gt;입력!B6*12,"",IF(입력!B7="원리금균등",ROUND(-PMT(입력!B5/100/12,입력!B6*12,입력!B4),0),ROUND(입력!B4/(입력!B6*12)+E59*입력!B5/100/12,0))),0)</f>
        <v/>
      </c>
      <c r="C59" s="9">
        <f>IFERROR(IF(58&gt;입력!B6*12,"",B59-D59),0)</f>
        <v/>
      </c>
      <c r="D59" s="9">
        <f>IFERROR(IF(58&gt;입력!B6*12,"",ROUND(E58*입력!B5/100/12,0)),0)</f>
        <v/>
      </c>
      <c r="E59" s="9">
        <f>IFERROR(IF(58&gt;입력!B6*12,"",E58-C59),0)</f>
        <v/>
      </c>
    </row>
    <row r="60">
      <c r="A60" s="8" t="n">
        <v>59</v>
      </c>
      <c r="B60" s="9">
        <f>IFERROR(IF(59&gt;입력!B6*12,"",IF(입력!B7="원리금균등",ROUND(-PMT(입력!B5/100/12,입력!B6*12,입력!B4),0),ROUND(입력!B4/(입력!B6*12)+E60*입력!B5/100/12,0))),0)</f>
        <v/>
      </c>
      <c r="C60" s="9">
        <f>IFERROR(IF(59&gt;입력!B6*12,"",B60-D60),0)</f>
        <v/>
      </c>
      <c r="D60" s="9">
        <f>IFERROR(IF(59&gt;입력!B6*12,"",ROUND(E59*입력!B5/100/12,0)),0)</f>
        <v/>
      </c>
      <c r="E60" s="9">
        <f>IFERROR(IF(59&gt;입력!B6*12,"",E59-C60),0)</f>
        <v/>
      </c>
    </row>
    <row r="61">
      <c r="A61" s="8" t="n">
        <v>60</v>
      </c>
      <c r="B61" s="9">
        <f>IFERROR(IF(60&gt;입력!B6*12,"",IF(입력!B7="원리금균등",ROUND(-PMT(입력!B5/100/12,입력!B6*12,입력!B4),0),ROUND(입력!B4/(입력!B6*12)+E61*입력!B5/100/12,0))),0)</f>
        <v/>
      </c>
      <c r="C61" s="9">
        <f>IFERROR(IF(60&gt;입력!B6*12,"",B61-D61),0)</f>
        <v/>
      </c>
      <c r="D61" s="9">
        <f>IFERROR(IF(60&gt;입력!B6*12,"",ROUND(E60*입력!B5/100/12,0)),0)</f>
        <v/>
      </c>
      <c r="E61" s="9">
        <f>IFERROR(IF(60&gt;입력!B6*12,"",E60-C61),0)</f>
        <v/>
      </c>
    </row>
    <row r="62">
      <c r="A62" s="8" t="n">
        <v>61</v>
      </c>
      <c r="B62" s="9">
        <f>IFERROR(IF(61&gt;입력!B6*12,"",IF(입력!B7="원리금균등",ROUND(-PMT(입력!B5/100/12,입력!B6*12,입력!B4),0),ROUND(입력!B4/(입력!B6*12)+E62*입력!B5/100/12,0))),0)</f>
        <v/>
      </c>
      <c r="C62" s="9">
        <f>IFERROR(IF(61&gt;입력!B6*12,"",B62-D62),0)</f>
        <v/>
      </c>
      <c r="D62" s="9">
        <f>IFERROR(IF(61&gt;입력!B6*12,"",ROUND(E61*입력!B5/100/12,0)),0)</f>
        <v/>
      </c>
      <c r="E62" s="9">
        <f>IFERROR(IF(61&gt;입력!B6*12,"",E61-C62),0)</f>
        <v/>
      </c>
    </row>
    <row r="63">
      <c r="A63" s="8" t="n">
        <v>62</v>
      </c>
      <c r="B63" s="9">
        <f>IFERROR(IF(62&gt;입력!B6*12,"",IF(입력!B7="원리금균등",ROUND(-PMT(입력!B5/100/12,입력!B6*12,입력!B4),0),ROUND(입력!B4/(입력!B6*12)+E63*입력!B5/100/12,0))),0)</f>
        <v/>
      </c>
      <c r="C63" s="9">
        <f>IFERROR(IF(62&gt;입력!B6*12,"",B63-D63),0)</f>
        <v/>
      </c>
      <c r="D63" s="9">
        <f>IFERROR(IF(62&gt;입력!B6*12,"",ROUND(E62*입력!B5/100/12,0)),0)</f>
        <v/>
      </c>
      <c r="E63" s="9">
        <f>IFERROR(IF(62&gt;입력!B6*12,"",E62-C63),0)</f>
        <v/>
      </c>
    </row>
    <row r="64">
      <c r="A64" s="8" t="n">
        <v>63</v>
      </c>
      <c r="B64" s="9">
        <f>IFERROR(IF(63&gt;입력!B6*12,"",IF(입력!B7="원리금균등",ROUND(-PMT(입력!B5/100/12,입력!B6*12,입력!B4),0),ROUND(입력!B4/(입력!B6*12)+E64*입력!B5/100/12,0))),0)</f>
        <v/>
      </c>
      <c r="C64" s="9">
        <f>IFERROR(IF(63&gt;입력!B6*12,"",B64-D64),0)</f>
        <v/>
      </c>
      <c r="D64" s="9">
        <f>IFERROR(IF(63&gt;입력!B6*12,"",ROUND(E63*입력!B5/100/12,0)),0)</f>
        <v/>
      </c>
      <c r="E64" s="9">
        <f>IFERROR(IF(63&gt;입력!B6*12,"",E63-C64),0)</f>
        <v/>
      </c>
    </row>
    <row r="65">
      <c r="A65" s="8" t="n">
        <v>64</v>
      </c>
      <c r="B65" s="9">
        <f>IFERROR(IF(64&gt;입력!B6*12,"",IF(입력!B7="원리금균등",ROUND(-PMT(입력!B5/100/12,입력!B6*12,입력!B4),0),ROUND(입력!B4/(입력!B6*12)+E65*입력!B5/100/12,0))),0)</f>
        <v/>
      </c>
      <c r="C65" s="9">
        <f>IFERROR(IF(64&gt;입력!B6*12,"",B65-D65),0)</f>
        <v/>
      </c>
      <c r="D65" s="9">
        <f>IFERROR(IF(64&gt;입력!B6*12,"",ROUND(E64*입력!B5/100/12,0)),0)</f>
        <v/>
      </c>
      <c r="E65" s="9">
        <f>IFERROR(IF(64&gt;입력!B6*12,"",E64-C65),0)</f>
        <v/>
      </c>
    </row>
    <row r="66">
      <c r="A66" s="8" t="n">
        <v>65</v>
      </c>
      <c r="B66" s="9">
        <f>IFERROR(IF(65&gt;입력!B6*12,"",IF(입력!B7="원리금균등",ROUND(-PMT(입력!B5/100/12,입력!B6*12,입력!B4),0),ROUND(입력!B4/(입력!B6*12)+E66*입력!B5/100/12,0))),0)</f>
        <v/>
      </c>
      <c r="C66" s="9">
        <f>IFERROR(IF(65&gt;입력!B6*12,"",B66-D66),0)</f>
        <v/>
      </c>
      <c r="D66" s="9">
        <f>IFERROR(IF(65&gt;입력!B6*12,"",ROUND(E65*입력!B5/100/12,0)),0)</f>
        <v/>
      </c>
      <c r="E66" s="9">
        <f>IFERROR(IF(65&gt;입력!B6*12,"",E65-C66),0)</f>
        <v/>
      </c>
    </row>
    <row r="67">
      <c r="A67" s="8" t="n">
        <v>66</v>
      </c>
      <c r="B67" s="9">
        <f>IFERROR(IF(66&gt;입력!B6*12,"",IF(입력!B7="원리금균등",ROUND(-PMT(입력!B5/100/12,입력!B6*12,입력!B4),0),ROUND(입력!B4/(입력!B6*12)+E67*입력!B5/100/12,0))),0)</f>
        <v/>
      </c>
      <c r="C67" s="9">
        <f>IFERROR(IF(66&gt;입력!B6*12,"",B67-D67),0)</f>
        <v/>
      </c>
      <c r="D67" s="9">
        <f>IFERROR(IF(66&gt;입력!B6*12,"",ROUND(E66*입력!B5/100/12,0)),0)</f>
        <v/>
      </c>
      <c r="E67" s="9">
        <f>IFERROR(IF(66&gt;입력!B6*12,"",E66-C67),0)</f>
        <v/>
      </c>
    </row>
    <row r="68">
      <c r="A68" s="8" t="n">
        <v>67</v>
      </c>
      <c r="B68" s="9">
        <f>IFERROR(IF(67&gt;입력!B6*12,"",IF(입력!B7="원리금균등",ROUND(-PMT(입력!B5/100/12,입력!B6*12,입력!B4),0),ROUND(입력!B4/(입력!B6*12)+E68*입력!B5/100/12,0))),0)</f>
        <v/>
      </c>
      <c r="C68" s="9">
        <f>IFERROR(IF(67&gt;입력!B6*12,"",B68-D68),0)</f>
        <v/>
      </c>
      <c r="D68" s="9">
        <f>IFERROR(IF(67&gt;입력!B6*12,"",ROUND(E67*입력!B5/100/12,0)),0)</f>
        <v/>
      </c>
      <c r="E68" s="9">
        <f>IFERROR(IF(67&gt;입력!B6*12,"",E67-C68),0)</f>
        <v/>
      </c>
    </row>
    <row r="69">
      <c r="A69" s="8" t="n">
        <v>68</v>
      </c>
      <c r="B69" s="9">
        <f>IFERROR(IF(68&gt;입력!B6*12,"",IF(입력!B7="원리금균등",ROUND(-PMT(입력!B5/100/12,입력!B6*12,입력!B4),0),ROUND(입력!B4/(입력!B6*12)+E69*입력!B5/100/12,0))),0)</f>
        <v/>
      </c>
      <c r="C69" s="9">
        <f>IFERROR(IF(68&gt;입력!B6*12,"",B69-D69),0)</f>
        <v/>
      </c>
      <c r="D69" s="9">
        <f>IFERROR(IF(68&gt;입력!B6*12,"",ROUND(E68*입력!B5/100/12,0)),0)</f>
        <v/>
      </c>
      <c r="E69" s="9">
        <f>IFERROR(IF(68&gt;입력!B6*12,"",E68-C69),0)</f>
        <v/>
      </c>
    </row>
    <row r="70">
      <c r="A70" s="8" t="n">
        <v>69</v>
      </c>
      <c r="B70" s="9">
        <f>IFERROR(IF(69&gt;입력!B6*12,"",IF(입력!B7="원리금균등",ROUND(-PMT(입력!B5/100/12,입력!B6*12,입력!B4),0),ROUND(입력!B4/(입력!B6*12)+E70*입력!B5/100/12,0))),0)</f>
        <v/>
      </c>
      <c r="C70" s="9">
        <f>IFERROR(IF(69&gt;입력!B6*12,"",B70-D70),0)</f>
        <v/>
      </c>
      <c r="D70" s="9">
        <f>IFERROR(IF(69&gt;입력!B6*12,"",ROUND(E69*입력!B5/100/12,0)),0)</f>
        <v/>
      </c>
      <c r="E70" s="9">
        <f>IFERROR(IF(69&gt;입력!B6*12,"",E69-C70),0)</f>
        <v/>
      </c>
    </row>
    <row r="71">
      <c r="A71" s="8" t="n">
        <v>70</v>
      </c>
      <c r="B71" s="9">
        <f>IFERROR(IF(70&gt;입력!B6*12,"",IF(입력!B7="원리금균등",ROUND(-PMT(입력!B5/100/12,입력!B6*12,입력!B4),0),ROUND(입력!B4/(입력!B6*12)+E71*입력!B5/100/12,0))),0)</f>
        <v/>
      </c>
      <c r="C71" s="9">
        <f>IFERROR(IF(70&gt;입력!B6*12,"",B71-D71),0)</f>
        <v/>
      </c>
      <c r="D71" s="9">
        <f>IFERROR(IF(70&gt;입력!B6*12,"",ROUND(E70*입력!B5/100/12,0)),0)</f>
        <v/>
      </c>
      <c r="E71" s="9">
        <f>IFERROR(IF(70&gt;입력!B6*12,"",E70-C71),0)</f>
        <v/>
      </c>
    </row>
    <row r="72">
      <c r="A72" s="8" t="n">
        <v>71</v>
      </c>
      <c r="B72" s="9">
        <f>IFERROR(IF(71&gt;입력!B6*12,"",IF(입력!B7="원리금균등",ROUND(-PMT(입력!B5/100/12,입력!B6*12,입력!B4),0),ROUND(입력!B4/(입력!B6*12)+E72*입력!B5/100/12,0))),0)</f>
        <v/>
      </c>
      <c r="C72" s="9">
        <f>IFERROR(IF(71&gt;입력!B6*12,"",B72-D72),0)</f>
        <v/>
      </c>
      <c r="D72" s="9">
        <f>IFERROR(IF(71&gt;입력!B6*12,"",ROUND(E71*입력!B5/100/12,0)),0)</f>
        <v/>
      </c>
      <c r="E72" s="9">
        <f>IFERROR(IF(71&gt;입력!B6*12,"",E71-C72),0)</f>
        <v/>
      </c>
    </row>
    <row r="73">
      <c r="A73" s="8" t="n">
        <v>72</v>
      </c>
      <c r="B73" s="9">
        <f>IFERROR(IF(72&gt;입력!B6*12,"",IF(입력!B7="원리금균등",ROUND(-PMT(입력!B5/100/12,입력!B6*12,입력!B4),0),ROUND(입력!B4/(입력!B6*12)+E73*입력!B5/100/12,0))),0)</f>
        <v/>
      </c>
      <c r="C73" s="9">
        <f>IFERROR(IF(72&gt;입력!B6*12,"",B73-D73),0)</f>
        <v/>
      </c>
      <c r="D73" s="9">
        <f>IFERROR(IF(72&gt;입력!B6*12,"",ROUND(E72*입력!B5/100/12,0)),0)</f>
        <v/>
      </c>
      <c r="E73" s="9">
        <f>IFERROR(IF(72&gt;입력!B6*12,"",E72-C73),0)</f>
        <v/>
      </c>
    </row>
    <row r="74">
      <c r="A74" s="8" t="n">
        <v>73</v>
      </c>
      <c r="B74" s="9">
        <f>IFERROR(IF(73&gt;입력!B6*12,"",IF(입력!B7="원리금균등",ROUND(-PMT(입력!B5/100/12,입력!B6*12,입력!B4),0),ROUND(입력!B4/(입력!B6*12)+E74*입력!B5/100/12,0))),0)</f>
        <v/>
      </c>
      <c r="C74" s="9">
        <f>IFERROR(IF(73&gt;입력!B6*12,"",B74-D74),0)</f>
        <v/>
      </c>
      <c r="D74" s="9">
        <f>IFERROR(IF(73&gt;입력!B6*12,"",ROUND(E73*입력!B5/100/12,0)),0)</f>
        <v/>
      </c>
      <c r="E74" s="9">
        <f>IFERROR(IF(73&gt;입력!B6*12,"",E73-C74),0)</f>
        <v/>
      </c>
    </row>
    <row r="75">
      <c r="A75" s="8" t="n">
        <v>74</v>
      </c>
      <c r="B75" s="9">
        <f>IFERROR(IF(74&gt;입력!B6*12,"",IF(입력!B7="원리금균등",ROUND(-PMT(입력!B5/100/12,입력!B6*12,입력!B4),0),ROUND(입력!B4/(입력!B6*12)+E75*입력!B5/100/12,0))),0)</f>
        <v/>
      </c>
      <c r="C75" s="9">
        <f>IFERROR(IF(74&gt;입력!B6*12,"",B75-D75),0)</f>
        <v/>
      </c>
      <c r="D75" s="9">
        <f>IFERROR(IF(74&gt;입력!B6*12,"",ROUND(E74*입력!B5/100/12,0)),0)</f>
        <v/>
      </c>
      <c r="E75" s="9">
        <f>IFERROR(IF(74&gt;입력!B6*12,"",E74-C75),0)</f>
        <v/>
      </c>
    </row>
    <row r="76">
      <c r="A76" s="8" t="n">
        <v>75</v>
      </c>
      <c r="B76" s="9">
        <f>IFERROR(IF(75&gt;입력!B6*12,"",IF(입력!B7="원리금균등",ROUND(-PMT(입력!B5/100/12,입력!B6*12,입력!B4),0),ROUND(입력!B4/(입력!B6*12)+E76*입력!B5/100/12,0))),0)</f>
        <v/>
      </c>
      <c r="C76" s="9">
        <f>IFERROR(IF(75&gt;입력!B6*12,"",B76-D76),0)</f>
        <v/>
      </c>
      <c r="D76" s="9">
        <f>IFERROR(IF(75&gt;입력!B6*12,"",ROUND(E75*입력!B5/100/12,0)),0)</f>
        <v/>
      </c>
      <c r="E76" s="9">
        <f>IFERROR(IF(75&gt;입력!B6*12,"",E75-C76),0)</f>
        <v/>
      </c>
    </row>
    <row r="77">
      <c r="A77" s="8" t="n">
        <v>76</v>
      </c>
      <c r="B77" s="9">
        <f>IFERROR(IF(76&gt;입력!B6*12,"",IF(입력!B7="원리금균등",ROUND(-PMT(입력!B5/100/12,입력!B6*12,입력!B4),0),ROUND(입력!B4/(입력!B6*12)+E77*입력!B5/100/12,0))),0)</f>
        <v/>
      </c>
      <c r="C77" s="9">
        <f>IFERROR(IF(76&gt;입력!B6*12,"",B77-D77),0)</f>
        <v/>
      </c>
      <c r="D77" s="9">
        <f>IFERROR(IF(76&gt;입력!B6*12,"",ROUND(E76*입력!B5/100/12,0)),0)</f>
        <v/>
      </c>
      <c r="E77" s="9">
        <f>IFERROR(IF(76&gt;입력!B6*12,"",E76-C77),0)</f>
        <v/>
      </c>
    </row>
    <row r="78">
      <c r="A78" s="8" t="n">
        <v>77</v>
      </c>
      <c r="B78" s="9">
        <f>IFERROR(IF(77&gt;입력!B6*12,"",IF(입력!B7="원리금균등",ROUND(-PMT(입력!B5/100/12,입력!B6*12,입력!B4),0),ROUND(입력!B4/(입력!B6*12)+E78*입력!B5/100/12,0))),0)</f>
        <v/>
      </c>
      <c r="C78" s="9">
        <f>IFERROR(IF(77&gt;입력!B6*12,"",B78-D78),0)</f>
        <v/>
      </c>
      <c r="D78" s="9">
        <f>IFERROR(IF(77&gt;입력!B6*12,"",ROUND(E77*입력!B5/100/12,0)),0)</f>
        <v/>
      </c>
      <c r="E78" s="9">
        <f>IFERROR(IF(77&gt;입력!B6*12,"",E77-C78),0)</f>
        <v/>
      </c>
    </row>
    <row r="79">
      <c r="A79" s="8" t="n">
        <v>78</v>
      </c>
      <c r="B79" s="9">
        <f>IFERROR(IF(78&gt;입력!B6*12,"",IF(입력!B7="원리금균등",ROUND(-PMT(입력!B5/100/12,입력!B6*12,입력!B4),0),ROUND(입력!B4/(입력!B6*12)+E79*입력!B5/100/12,0))),0)</f>
        <v/>
      </c>
      <c r="C79" s="9">
        <f>IFERROR(IF(78&gt;입력!B6*12,"",B79-D79),0)</f>
        <v/>
      </c>
      <c r="D79" s="9">
        <f>IFERROR(IF(78&gt;입력!B6*12,"",ROUND(E78*입력!B5/100/12,0)),0)</f>
        <v/>
      </c>
      <c r="E79" s="9">
        <f>IFERROR(IF(78&gt;입력!B6*12,"",E78-C79),0)</f>
        <v/>
      </c>
    </row>
    <row r="80">
      <c r="A80" s="8" t="n">
        <v>79</v>
      </c>
      <c r="B80" s="9">
        <f>IFERROR(IF(79&gt;입력!B6*12,"",IF(입력!B7="원리금균등",ROUND(-PMT(입력!B5/100/12,입력!B6*12,입력!B4),0),ROUND(입력!B4/(입력!B6*12)+E80*입력!B5/100/12,0))),0)</f>
        <v/>
      </c>
      <c r="C80" s="9">
        <f>IFERROR(IF(79&gt;입력!B6*12,"",B80-D80),0)</f>
        <v/>
      </c>
      <c r="D80" s="9">
        <f>IFERROR(IF(79&gt;입력!B6*12,"",ROUND(E79*입력!B5/100/12,0)),0)</f>
        <v/>
      </c>
      <c r="E80" s="9">
        <f>IFERROR(IF(79&gt;입력!B6*12,"",E79-C80),0)</f>
        <v/>
      </c>
    </row>
    <row r="81">
      <c r="A81" s="8" t="n">
        <v>80</v>
      </c>
      <c r="B81" s="9">
        <f>IFERROR(IF(80&gt;입력!B6*12,"",IF(입력!B7="원리금균등",ROUND(-PMT(입력!B5/100/12,입력!B6*12,입력!B4),0),ROUND(입력!B4/(입력!B6*12)+E81*입력!B5/100/12,0))),0)</f>
        <v/>
      </c>
      <c r="C81" s="9">
        <f>IFERROR(IF(80&gt;입력!B6*12,"",B81-D81),0)</f>
        <v/>
      </c>
      <c r="D81" s="9">
        <f>IFERROR(IF(80&gt;입력!B6*12,"",ROUND(E80*입력!B5/100/12,0)),0)</f>
        <v/>
      </c>
      <c r="E81" s="9">
        <f>IFERROR(IF(80&gt;입력!B6*12,"",E80-C81),0)</f>
        <v/>
      </c>
    </row>
    <row r="82">
      <c r="A82" s="8" t="n">
        <v>81</v>
      </c>
      <c r="B82" s="9">
        <f>IFERROR(IF(81&gt;입력!B6*12,"",IF(입력!B7="원리금균등",ROUND(-PMT(입력!B5/100/12,입력!B6*12,입력!B4),0),ROUND(입력!B4/(입력!B6*12)+E82*입력!B5/100/12,0))),0)</f>
        <v/>
      </c>
      <c r="C82" s="9">
        <f>IFERROR(IF(81&gt;입력!B6*12,"",B82-D82),0)</f>
        <v/>
      </c>
      <c r="D82" s="9">
        <f>IFERROR(IF(81&gt;입력!B6*12,"",ROUND(E81*입력!B5/100/12,0)),0)</f>
        <v/>
      </c>
      <c r="E82" s="9">
        <f>IFERROR(IF(81&gt;입력!B6*12,"",E81-C82),0)</f>
        <v/>
      </c>
    </row>
    <row r="83">
      <c r="A83" s="8" t="n">
        <v>82</v>
      </c>
      <c r="B83" s="9">
        <f>IFERROR(IF(82&gt;입력!B6*12,"",IF(입력!B7="원리금균등",ROUND(-PMT(입력!B5/100/12,입력!B6*12,입력!B4),0),ROUND(입력!B4/(입력!B6*12)+E83*입력!B5/100/12,0))),0)</f>
        <v/>
      </c>
      <c r="C83" s="9">
        <f>IFERROR(IF(82&gt;입력!B6*12,"",B83-D83),0)</f>
        <v/>
      </c>
      <c r="D83" s="9">
        <f>IFERROR(IF(82&gt;입력!B6*12,"",ROUND(E82*입력!B5/100/12,0)),0)</f>
        <v/>
      </c>
      <c r="E83" s="9">
        <f>IFERROR(IF(82&gt;입력!B6*12,"",E82-C83),0)</f>
        <v/>
      </c>
    </row>
    <row r="84">
      <c r="A84" s="8" t="n">
        <v>83</v>
      </c>
      <c r="B84" s="9">
        <f>IFERROR(IF(83&gt;입력!B6*12,"",IF(입력!B7="원리금균등",ROUND(-PMT(입력!B5/100/12,입력!B6*12,입력!B4),0),ROUND(입력!B4/(입력!B6*12)+E84*입력!B5/100/12,0))),0)</f>
        <v/>
      </c>
      <c r="C84" s="9">
        <f>IFERROR(IF(83&gt;입력!B6*12,"",B84-D84),0)</f>
        <v/>
      </c>
      <c r="D84" s="9">
        <f>IFERROR(IF(83&gt;입력!B6*12,"",ROUND(E83*입력!B5/100/12,0)),0)</f>
        <v/>
      </c>
      <c r="E84" s="9">
        <f>IFERROR(IF(83&gt;입력!B6*12,"",E83-C84),0)</f>
        <v/>
      </c>
    </row>
    <row r="85">
      <c r="A85" s="8" t="n">
        <v>84</v>
      </c>
      <c r="B85" s="9">
        <f>IFERROR(IF(84&gt;입력!B6*12,"",IF(입력!B7="원리금균등",ROUND(-PMT(입력!B5/100/12,입력!B6*12,입력!B4),0),ROUND(입력!B4/(입력!B6*12)+E85*입력!B5/100/12,0))),0)</f>
        <v/>
      </c>
      <c r="C85" s="9">
        <f>IFERROR(IF(84&gt;입력!B6*12,"",B85-D85),0)</f>
        <v/>
      </c>
      <c r="D85" s="9">
        <f>IFERROR(IF(84&gt;입력!B6*12,"",ROUND(E84*입력!B5/100/12,0)),0)</f>
        <v/>
      </c>
      <c r="E85" s="9">
        <f>IFERROR(IF(84&gt;입력!B6*12,"",E84-C85),0)</f>
        <v/>
      </c>
    </row>
    <row r="86">
      <c r="A86" s="8" t="n">
        <v>85</v>
      </c>
      <c r="B86" s="9">
        <f>IFERROR(IF(85&gt;입력!B6*12,"",IF(입력!B7="원리금균등",ROUND(-PMT(입력!B5/100/12,입력!B6*12,입력!B4),0),ROUND(입력!B4/(입력!B6*12)+E86*입력!B5/100/12,0))),0)</f>
        <v/>
      </c>
      <c r="C86" s="9">
        <f>IFERROR(IF(85&gt;입력!B6*12,"",B86-D86),0)</f>
        <v/>
      </c>
      <c r="D86" s="9">
        <f>IFERROR(IF(85&gt;입력!B6*12,"",ROUND(E85*입력!B5/100/12,0)),0)</f>
        <v/>
      </c>
      <c r="E86" s="9">
        <f>IFERROR(IF(85&gt;입력!B6*12,"",E85-C86),0)</f>
        <v/>
      </c>
    </row>
    <row r="87">
      <c r="A87" s="8" t="n">
        <v>86</v>
      </c>
      <c r="B87" s="9">
        <f>IFERROR(IF(86&gt;입력!B6*12,"",IF(입력!B7="원리금균등",ROUND(-PMT(입력!B5/100/12,입력!B6*12,입력!B4),0),ROUND(입력!B4/(입력!B6*12)+E87*입력!B5/100/12,0))),0)</f>
        <v/>
      </c>
      <c r="C87" s="9">
        <f>IFERROR(IF(86&gt;입력!B6*12,"",B87-D87),0)</f>
        <v/>
      </c>
      <c r="D87" s="9">
        <f>IFERROR(IF(86&gt;입력!B6*12,"",ROUND(E86*입력!B5/100/12,0)),0)</f>
        <v/>
      </c>
      <c r="E87" s="9">
        <f>IFERROR(IF(86&gt;입력!B6*12,"",E86-C87),0)</f>
        <v/>
      </c>
    </row>
    <row r="88">
      <c r="A88" s="8" t="n">
        <v>87</v>
      </c>
      <c r="B88" s="9">
        <f>IFERROR(IF(87&gt;입력!B6*12,"",IF(입력!B7="원리금균등",ROUND(-PMT(입력!B5/100/12,입력!B6*12,입력!B4),0),ROUND(입력!B4/(입력!B6*12)+E88*입력!B5/100/12,0))),0)</f>
        <v/>
      </c>
      <c r="C88" s="9">
        <f>IFERROR(IF(87&gt;입력!B6*12,"",B88-D88),0)</f>
        <v/>
      </c>
      <c r="D88" s="9">
        <f>IFERROR(IF(87&gt;입력!B6*12,"",ROUND(E87*입력!B5/100/12,0)),0)</f>
        <v/>
      </c>
      <c r="E88" s="9">
        <f>IFERROR(IF(87&gt;입력!B6*12,"",E87-C88),0)</f>
        <v/>
      </c>
    </row>
    <row r="89">
      <c r="A89" s="8" t="n">
        <v>88</v>
      </c>
      <c r="B89" s="9">
        <f>IFERROR(IF(88&gt;입력!B6*12,"",IF(입력!B7="원리금균등",ROUND(-PMT(입력!B5/100/12,입력!B6*12,입력!B4),0),ROUND(입력!B4/(입력!B6*12)+E89*입력!B5/100/12,0))),0)</f>
        <v/>
      </c>
      <c r="C89" s="9">
        <f>IFERROR(IF(88&gt;입력!B6*12,"",B89-D89),0)</f>
        <v/>
      </c>
      <c r="D89" s="9">
        <f>IFERROR(IF(88&gt;입력!B6*12,"",ROUND(E88*입력!B5/100/12,0)),0)</f>
        <v/>
      </c>
      <c r="E89" s="9">
        <f>IFERROR(IF(88&gt;입력!B6*12,"",E88-C89),0)</f>
        <v/>
      </c>
    </row>
    <row r="90">
      <c r="A90" s="8" t="n">
        <v>89</v>
      </c>
      <c r="B90" s="9">
        <f>IFERROR(IF(89&gt;입력!B6*12,"",IF(입력!B7="원리금균등",ROUND(-PMT(입력!B5/100/12,입력!B6*12,입력!B4),0),ROUND(입력!B4/(입력!B6*12)+E90*입력!B5/100/12,0))),0)</f>
        <v/>
      </c>
      <c r="C90" s="9">
        <f>IFERROR(IF(89&gt;입력!B6*12,"",B90-D90),0)</f>
        <v/>
      </c>
      <c r="D90" s="9">
        <f>IFERROR(IF(89&gt;입력!B6*12,"",ROUND(E89*입력!B5/100/12,0)),0)</f>
        <v/>
      </c>
      <c r="E90" s="9">
        <f>IFERROR(IF(89&gt;입력!B6*12,"",E89-C90),0)</f>
        <v/>
      </c>
    </row>
    <row r="91">
      <c r="A91" s="8" t="n">
        <v>90</v>
      </c>
      <c r="B91" s="9">
        <f>IFERROR(IF(90&gt;입력!B6*12,"",IF(입력!B7="원리금균등",ROUND(-PMT(입력!B5/100/12,입력!B6*12,입력!B4),0),ROUND(입력!B4/(입력!B6*12)+E91*입력!B5/100/12,0))),0)</f>
        <v/>
      </c>
      <c r="C91" s="9">
        <f>IFERROR(IF(90&gt;입력!B6*12,"",B91-D91),0)</f>
        <v/>
      </c>
      <c r="D91" s="9">
        <f>IFERROR(IF(90&gt;입력!B6*12,"",ROUND(E90*입력!B5/100/12,0)),0)</f>
        <v/>
      </c>
      <c r="E91" s="9">
        <f>IFERROR(IF(90&gt;입력!B6*12,"",E90-C91),0)</f>
        <v/>
      </c>
    </row>
    <row r="92">
      <c r="A92" s="8" t="n">
        <v>91</v>
      </c>
      <c r="B92" s="9">
        <f>IFERROR(IF(91&gt;입력!B6*12,"",IF(입력!B7="원리금균등",ROUND(-PMT(입력!B5/100/12,입력!B6*12,입력!B4),0),ROUND(입력!B4/(입력!B6*12)+E92*입력!B5/100/12,0))),0)</f>
        <v/>
      </c>
      <c r="C92" s="9">
        <f>IFERROR(IF(91&gt;입력!B6*12,"",B92-D92),0)</f>
        <v/>
      </c>
      <c r="D92" s="9">
        <f>IFERROR(IF(91&gt;입력!B6*12,"",ROUND(E91*입력!B5/100/12,0)),0)</f>
        <v/>
      </c>
      <c r="E92" s="9">
        <f>IFERROR(IF(91&gt;입력!B6*12,"",E91-C92),0)</f>
        <v/>
      </c>
    </row>
    <row r="93">
      <c r="A93" s="8" t="n">
        <v>92</v>
      </c>
      <c r="B93" s="9">
        <f>IFERROR(IF(92&gt;입력!B6*12,"",IF(입력!B7="원리금균등",ROUND(-PMT(입력!B5/100/12,입력!B6*12,입력!B4),0),ROUND(입력!B4/(입력!B6*12)+E93*입력!B5/100/12,0))),0)</f>
        <v/>
      </c>
      <c r="C93" s="9">
        <f>IFERROR(IF(92&gt;입력!B6*12,"",B93-D93),0)</f>
        <v/>
      </c>
      <c r="D93" s="9">
        <f>IFERROR(IF(92&gt;입력!B6*12,"",ROUND(E92*입력!B5/100/12,0)),0)</f>
        <v/>
      </c>
      <c r="E93" s="9">
        <f>IFERROR(IF(92&gt;입력!B6*12,"",E92-C93),0)</f>
        <v/>
      </c>
    </row>
    <row r="94">
      <c r="A94" s="8" t="n">
        <v>93</v>
      </c>
      <c r="B94" s="9">
        <f>IFERROR(IF(93&gt;입력!B6*12,"",IF(입력!B7="원리금균등",ROUND(-PMT(입력!B5/100/12,입력!B6*12,입력!B4),0),ROUND(입력!B4/(입력!B6*12)+E94*입력!B5/100/12,0))),0)</f>
        <v/>
      </c>
      <c r="C94" s="9">
        <f>IFERROR(IF(93&gt;입력!B6*12,"",B94-D94),0)</f>
        <v/>
      </c>
      <c r="D94" s="9">
        <f>IFERROR(IF(93&gt;입력!B6*12,"",ROUND(E93*입력!B5/100/12,0)),0)</f>
        <v/>
      </c>
      <c r="E94" s="9">
        <f>IFERROR(IF(93&gt;입력!B6*12,"",E93-C94),0)</f>
        <v/>
      </c>
    </row>
    <row r="95">
      <c r="A95" s="8" t="n">
        <v>94</v>
      </c>
      <c r="B95" s="9">
        <f>IFERROR(IF(94&gt;입력!B6*12,"",IF(입력!B7="원리금균등",ROUND(-PMT(입력!B5/100/12,입력!B6*12,입력!B4),0),ROUND(입력!B4/(입력!B6*12)+E95*입력!B5/100/12,0))),0)</f>
        <v/>
      </c>
      <c r="C95" s="9">
        <f>IFERROR(IF(94&gt;입력!B6*12,"",B95-D95),0)</f>
        <v/>
      </c>
      <c r="D95" s="9">
        <f>IFERROR(IF(94&gt;입력!B6*12,"",ROUND(E94*입력!B5/100/12,0)),0)</f>
        <v/>
      </c>
      <c r="E95" s="9">
        <f>IFERROR(IF(94&gt;입력!B6*12,"",E94-C95),0)</f>
        <v/>
      </c>
    </row>
    <row r="96">
      <c r="A96" s="8" t="n">
        <v>95</v>
      </c>
      <c r="B96" s="9">
        <f>IFERROR(IF(95&gt;입력!B6*12,"",IF(입력!B7="원리금균등",ROUND(-PMT(입력!B5/100/12,입력!B6*12,입력!B4),0),ROUND(입력!B4/(입력!B6*12)+E96*입력!B5/100/12,0))),0)</f>
        <v/>
      </c>
      <c r="C96" s="9">
        <f>IFERROR(IF(95&gt;입력!B6*12,"",B96-D96),0)</f>
        <v/>
      </c>
      <c r="D96" s="9">
        <f>IFERROR(IF(95&gt;입력!B6*12,"",ROUND(E95*입력!B5/100/12,0)),0)</f>
        <v/>
      </c>
      <c r="E96" s="9">
        <f>IFERROR(IF(95&gt;입력!B6*12,"",E95-C96),0)</f>
        <v/>
      </c>
    </row>
    <row r="97">
      <c r="A97" s="8" t="n">
        <v>96</v>
      </c>
      <c r="B97" s="9">
        <f>IFERROR(IF(96&gt;입력!B6*12,"",IF(입력!B7="원리금균등",ROUND(-PMT(입력!B5/100/12,입력!B6*12,입력!B4),0),ROUND(입력!B4/(입력!B6*12)+E97*입력!B5/100/12,0))),0)</f>
        <v/>
      </c>
      <c r="C97" s="9">
        <f>IFERROR(IF(96&gt;입력!B6*12,"",B97-D97),0)</f>
        <v/>
      </c>
      <c r="D97" s="9">
        <f>IFERROR(IF(96&gt;입력!B6*12,"",ROUND(E96*입력!B5/100/12,0)),0)</f>
        <v/>
      </c>
      <c r="E97" s="9">
        <f>IFERROR(IF(96&gt;입력!B6*12,"",E96-C97),0)</f>
        <v/>
      </c>
    </row>
    <row r="98">
      <c r="A98" s="8" t="n">
        <v>97</v>
      </c>
      <c r="B98" s="9">
        <f>IFERROR(IF(97&gt;입력!B6*12,"",IF(입력!B7="원리금균등",ROUND(-PMT(입력!B5/100/12,입력!B6*12,입력!B4),0),ROUND(입력!B4/(입력!B6*12)+E98*입력!B5/100/12,0))),0)</f>
        <v/>
      </c>
      <c r="C98" s="9">
        <f>IFERROR(IF(97&gt;입력!B6*12,"",B98-D98),0)</f>
        <v/>
      </c>
      <c r="D98" s="9">
        <f>IFERROR(IF(97&gt;입력!B6*12,"",ROUND(E97*입력!B5/100/12,0)),0)</f>
        <v/>
      </c>
      <c r="E98" s="9">
        <f>IFERROR(IF(97&gt;입력!B6*12,"",E97-C98),0)</f>
        <v/>
      </c>
    </row>
    <row r="99">
      <c r="A99" s="8" t="n">
        <v>98</v>
      </c>
      <c r="B99" s="9">
        <f>IFERROR(IF(98&gt;입력!B6*12,"",IF(입력!B7="원리금균등",ROUND(-PMT(입력!B5/100/12,입력!B6*12,입력!B4),0),ROUND(입력!B4/(입력!B6*12)+E99*입력!B5/100/12,0))),0)</f>
        <v/>
      </c>
      <c r="C99" s="9">
        <f>IFERROR(IF(98&gt;입력!B6*12,"",B99-D99),0)</f>
        <v/>
      </c>
      <c r="D99" s="9">
        <f>IFERROR(IF(98&gt;입력!B6*12,"",ROUND(E98*입력!B5/100/12,0)),0)</f>
        <v/>
      </c>
      <c r="E99" s="9">
        <f>IFERROR(IF(98&gt;입력!B6*12,"",E98-C99),0)</f>
        <v/>
      </c>
    </row>
    <row r="100">
      <c r="A100" s="8" t="n">
        <v>99</v>
      </c>
      <c r="B100" s="9">
        <f>IFERROR(IF(99&gt;입력!B6*12,"",IF(입력!B7="원리금균등",ROUND(-PMT(입력!B5/100/12,입력!B6*12,입력!B4),0),ROUND(입력!B4/(입력!B6*12)+E100*입력!B5/100/12,0))),0)</f>
        <v/>
      </c>
      <c r="C100" s="9">
        <f>IFERROR(IF(99&gt;입력!B6*12,"",B100-D100),0)</f>
        <v/>
      </c>
      <c r="D100" s="9">
        <f>IFERROR(IF(99&gt;입력!B6*12,"",ROUND(E99*입력!B5/100/12,0)),0)</f>
        <v/>
      </c>
      <c r="E100" s="9">
        <f>IFERROR(IF(99&gt;입력!B6*12,"",E99-C100),0)</f>
        <v/>
      </c>
    </row>
    <row r="101">
      <c r="A101" s="8" t="n">
        <v>100</v>
      </c>
      <c r="B101" s="9">
        <f>IFERROR(IF(100&gt;입력!B6*12,"",IF(입력!B7="원리금균등",ROUND(-PMT(입력!B5/100/12,입력!B6*12,입력!B4),0),ROUND(입력!B4/(입력!B6*12)+E101*입력!B5/100/12,0))),0)</f>
        <v/>
      </c>
      <c r="C101" s="9">
        <f>IFERROR(IF(100&gt;입력!B6*12,"",B101-D101),0)</f>
        <v/>
      </c>
      <c r="D101" s="9">
        <f>IFERROR(IF(100&gt;입력!B6*12,"",ROUND(E100*입력!B5/100/12,0)),0)</f>
        <v/>
      </c>
      <c r="E101" s="9">
        <f>IFERROR(IF(100&gt;입력!B6*12,"",E100-C101),0)</f>
        <v/>
      </c>
    </row>
    <row r="102">
      <c r="A102" s="8" t="n">
        <v>101</v>
      </c>
      <c r="B102" s="9">
        <f>IFERROR(IF(101&gt;입력!B6*12,"",IF(입력!B7="원리금균등",ROUND(-PMT(입력!B5/100/12,입력!B6*12,입력!B4),0),ROUND(입력!B4/(입력!B6*12)+E102*입력!B5/100/12,0))),0)</f>
        <v/>
      </c>
      <c r="C102" s="9">
        <f>IFERROR(IF(101&gt;입력!B6*12,"",B102-D102),0)</f>
        <v/>
      </c>
      <c r="D102" s="9">
        <f>IFERROR(IF(101&gt;입력!B6*12,"",ROUND(E101*입력!B5/100/12,0)),0)</f>
        <v/>
      </c>
      <c r="E102" s="9">
        <f>IFERROR(IF(101&gt;입력!B6*12,"",E101-C102),0)</f>
        <v/>
      </c>
    </row>
    <row r="103">
      <c r="A103" s="8" t="n">
        <v>102</v>
      </c>
      <c r="B103" s="9">
        <f>IFERROR(IF(102&gt;입력!B6*12,"",IF(입력!B7="원리금균등",ROUND(-PMT(입력!B5/100/12,입력!B6*12,입력!B4),0),ROUND(입력!B4/(입력!B6*12)+E103*입력!B5/100/12,0))),0)</f>
        <v/>
      </c>
      <c r="C103" s="9">
        <f>IFERROR(IF(102&gt;입력!B6*12,"",B103-D103),0)</f>
        <v/>
      </c>
      <c r="D103" s="9">
        <f>IFERROR(IF(102&gt;입력!B6*12,"",ROUND(E102*입력!B5/100/12,0)),0)</f>
        <v/>
      </c>
      <c r="E103" s="9">
        <f>IFERROR(IF(102&gt;입력!B6*12,"",E102-C103),0)</f>
        <v/>
      </c>
    </row>
    <row r="104">
      <c r="A104" s="8" t="n">
        <v>103</v>
      </c>
      <c r="B104" s="9">
        <f>IFERROR(IF(103&gt;입력!B6*12,"",IF(입력!B7="원리금균등",ROUND(-PMT(입력!B5/100/12,입력!B6*12,입력!B4),0),ROUND(입력!B4/(입력!B6*12)+E104*입력!B5/100/12,0))),0)</f>
        <v/>
      </c>
      <c r="C104" s="9">
        <f>IFERROR(IF(103&gt;입력!B6*12,"",B104-D104),0)</f>
        <v/>
      </c>
      <c r="D104" s="9">
        <f>IFERROR(IF(103&gt;입력!B6*12,"",ROUND(E103*입력!B5/100/12,0)),0)</f>
        <v/>
      </c>
      <c r="E104" s="9">
        <f>IFERROR(IF(103&gt;입력!B6*12,"",E103-C104),0)</f>
        <v/>
      </c>
    </row>
    <row r="105">
      <c r="A105" s="8" t="n">
        <v>104</v>
      </c>
      <c r="B105" s="9">
        <f>IFERROR(IF(104&gt;입력!B6*12,"",IF(입력!B7="원리금균등",ROUND(-PMT(입력!B5/100/12,입력!B6*12,입력!B4),0),ROUND(입력!B4/(입력!B6*12)+E105*입력!B5/100/12,0))),0)</f>
        <v/>
      </c>
      <c r="C105" s="9">
        <f>IFERROR(IF(104&gt;입력!B6*12,"",B105-D105),0)</f>
        <v/>
      </c>
      <c r="D105" s="9">
        <f>IFERROR(IF(104&gt;입력!B6*12,"",ROUND(E104*입력!B5/100/12,0)),0)</f>
        <v/>
      </c>
      <c r="E105" s="9">
        <f>IFERROR(IF(104&gt;입력!B6*12,"",E104-C105),0)</f>
        <v/>
      </c>
    </row>
    <row r="106">
      <c r="A106" s="8" t="n">
        <v>105</v>
      </c>
      <c r="B106" s="9">
        <f>IFERROR(IF(105&gt;입력!B6*12,"",IF(입력!B7="원리금균등",ROUND(-PMT(입력!B5/100/12,입력!B6*12,입력!B4),0),ROUND(입력!B4/(입력!B6*12)+E106*입력!B5/100/12,0))),0)</f>
        <v/>
      </c>
      <c r="C106" s="9">
        <f>IFERROR(IF(105&gt;입력!B6*12,"",B106-D106),0)</f>
        <v/>
      </c>
      <c r="D106" s="9">
        <f>IFERROR(IF(105&gt;입력!B6*12,"",ROUND(E105*입력!B5/100/12,0)),0)</f>
        <v/>
      </c>
      <c r="E106" s="9">
        <f>IFERROR(IF(105&gt;입력!B6*12,"",E105-C106),0)</f>
        <v/>
      </c>
    </row>
    <row r="107">
      <c r="A107" s="8" t="n">
        <v>106</v>
      </c>
      <c r="B107" s="9">
        <f>IFERROR(IF(106&gt;입력!B6*12,"",IF(입력!B7="원리금균등",ROUND(-PMT(입력!B5/100/12,입력!B6*12,입력!B4),0),ROUND(입력!B4/(입력!B6*12)+E107*입력!B5/100/12,0))),0)</f>
        <v/>
      </c>
      <c r="C107" s="9">
        <f>IFERROR(IF(106&gt;입력!B6*12,"",B107-D107),0)</f>
        <v/>
      </c>
      <c r="D107" s="9">
        <f>IFERROR(IF(106&gt;입력!B6*12,"",ROUND(E106*입력!B5/100/12,0)),0)</f>
        <v/>
      </c>
      <c r="E107" s="9">
        <f>IFERROR(IF(106&gt;입력!B6*12,"",E106-C107),0)</f>
        <v/>
      </c>
    </row>
    <row r="108">
      <c r="A108" s="8" t="n">
        <v>107</v>
      </c>
      <c r="B108" s="9">
        <f>IFERROR(IF(107&gt;입력!B6*12,"",IF(입력!B7="원리금균등",ROUND(-PMT(입력!B5/100/12,입력!B6*12,입력!B4),0),ROUND(입력!B4/(입력!B6*12)+E108*입력!B5/100/12,0))),0)</f>
        <v/>
      </c>
      <c r="C108" s="9">
        <f>IFERROR(IF(107&gt;입력!B6*12,"",B108-D108),0)</f>
        <v/>
      </c>
      <c r="D108" s="9">
        <f>IFERROR(IF(107&gt;입력!B6*12,"",ROUND(E107*입력!B5/100/12,0)),0)</f>
        <v/>
      </c>
      <c r="E108" s="9">
        <f>IFERROR(IF(107&gt;입력!B6*12,"",E107-C108),0)</f>
        <v/>
      </c>
    </row>
    <row r="109">
      <c r="A109" s="8" t="n">
        <v>108</v>
      </c>
      <c r="B109" s="9">
        <f>IFERROR(IF(108&gt;입력!B6*12,"",IF(입력!B7="원리금균등",ROUND(-PMT(입력!B5/100/12,입력!B6*12,입력!B4),0),ROUND(입력!B4/(입력!B6*12)+E109*입력!B5/100/12,0))),0)</f>
        <v/>
      </c>
      <c r="C109" s="9">
        <f>IFERROR(IF(108&gt;입력!B6*12,"",B109-D109),0)</f>
        <v/>
      </c>
      <c r="D109" s="9">
        <f>IFERROR(IF(108&gt;입력!B6*12,"",ROUND(E108*입력!B5/100/12,0)),0)</f>
        <v/>
      </c>
      <c r="E109" s="9">
        <f>IFERROR(IF(108&gt;입력!B6*12,"",E108-C109),0)</f>
        <v/>
      </c>
    </row>
    <row r="110">
      <c r="A110" s="8" t="n">
        <v>109</v>
      </c>
      <c r="B110" s="9">
        <f>IFERROR(IF(109&gt;입력!B6*12,"",IF(입력!B7="원리금균등",ROUND(-PMT(입력!B5/100/12,입력!B6*12,입력!B4),0),ROUND(입력!B4/(입력!B6*12)+E110*입력!B5/100/12,0))),0)</f>
        <v/>
      </c>
      <c r="C110" s="9">
        <f>IFERROR(IF(109&gt;입력!B6*12,"",B110-D110),0)</f>
        <v/>
      </c>
      <c r="D110" s="9">
        <f>IFERROR(IF(109&gt;입력!B6*12,"",ROUND(E109*입력!B5/100/12,0)),0)</f>
        <v/>
      </c>
      <c r="E110" s="9">
        <f>IFERROR(IF(109&gt;입력!B6*12,"",E109-C110),0)</f>
        <v/>
      </c>
    </row>
    <row r="111">
      <c r="A111" s="8" t="n">
        <v>110</v>
      </c>
      <c r="B111" s="9">
        <f>IFERROR(IF(110&gt;입력!B6*12,"",IF(입력!B7="원리금균등",ROUND(-PMT(입력!B5/100/12,입력!B6*12,입력!B4),0),ROUND(입력!B4/(입력!B6*12)+E111*입력!B5/100/12,0))),0)</f>
        <v/>
      </c>
      <c r="C111" s="9">
        <f>IFERROR(IF(110&gt;입력!B6*12,"",B111-D111),0)</f>
        <v/>
      </c>
      <c r="D111" s="9">
        <f>IFERROR(IF(110&gt;입력!B6*12,"",ROUND(E110*입력!B5/100/12,0)),0)</f>
        <v/>
      </c>
      <c r="E111" s="9">
        <f>IFERROR(IF(110&gt;입력!B6*12,"",E110-C111),0)</f>
        <v/>
      </c>
    </row>
    <row r="112">
      <c r="A112" s="8" t="n">
        <v>111</v>
      </c>
      <c r="B112" s="9">
        <f>IFERROR(IF(111&gt;입력!B6*12,"",IF(입력!B7="원리금균등",ROUND(-PMT(입력!B5/100/12,입력!B6*12,입력!B4),0),ROUND(입력!B4/(입력!B6*12)+E112*입력!B5/100/12,0))),0)</f>
        <v/>
      </c>
      <c r="C112" s="9">
        <f>IFERROR(IF(111&gt;입력!B6*12,"",B112-D112),0)</f>
        <v/>
      </c>
      <c r="D112" s="9">
        <f>IFERROR(IF(111&gt;입력!B6*12,"",ROUND(E111*입력!B5/100/12,0)),0)</f>
        <v/>
      </c>
      <c r="E112" s="9">
        <f>IFERROR(IF(111&gt;입력!B6*12,"",E111-C112),0)</f>
        <v/>
      </c>
    </row>
    <row r="113">
      <c r="A113" s="8" t="n">
        <v>112</v>
      </c>
      <c r="B113" s="9">
        <f>IFERROR(IF(112&gt;입력!B6*12,"",IF(입력!B7="원리금균등",ROUND(-PMT(입력!B5/100/12,입력!B6*12,입력!B4),0),ROUND(입력!B4/(입력!B6*12)+E113*입력!B5/100/12,0))),0)</f>
        <v/>
      </c>
      <c r="C113" s="9">
        <f>IFERROR(IF(112&gt;입력!B6*12,"",B113-D113),0)</f>
        <v/>
      </c>
      <c r="D113" s="9">
        <f>IFERROR(IF(112&gt;입력!B6*12,"",ROUND(E112*입력!B5/100/12,0)),0)</f>
        <v/>
      </c>
      <c r="E113" s="9">
        <f>IFERROR(IF(112&gt;입력!B6*12,"",E112-C113),0)</f>
        <v/>
      </c>
    </row>
    <row r="114">
      <c r="A114" s="8" t="n">
        <v>113</v>
      </c>
      <c r="B114" s="9">
        <f>IFERROR(IF(113&gt;입력!B6*12,"",IF(입력!B7="원리금균등",ROUND(-PMT(입력!B5/100/12,입력!B6*12,입력!B4),0),ROUND(입력!B4/(입력!B6*12)+E114*입력!B5/100/12,0))),0)</f>
        <v/>
      </c>
      <c r="C114" s="9">
        <f>IFERROR(IF(113&gt;입력!B6*12,"",B114-D114),0)</f>
        <v/>
      </c>
      <c r="D114" s="9">
        <f>IFERROR(IF(113&gt;입력!B6*12,"",ROUND(E113*입력!B5/100/12,0)),0)</f>
        <v/>
      </c>
      <c r="E114" s="9">
        <f>IFERROR(IF(113&gt;입력!B6*12,"",E113-C114),0)</f>
        <v/>
      </c>
    </row>
    <row r="115">
      <c r="A115" s="8" t="n">
        <v>114</v>
      </c>
      <c r="B115" s="9">
        <f>IFERROR(IF(114&gt;입력!B6*12,"",IF(입력!B7="원리금균등",ROUND(-PMT(입력!B5/100/12,입력!B6*12,입력!B4),0),ROUND(입력!B4/(입력!B6*12)+E115*입력!B5/100/12,0))),0)</f>
        <v/>
      </c>
      <c r="C115" s="9">
        <f>IFERROR(IF(114&gt;입력!B6*12,"",B115-D115),0)</f>
        <v/>
      </c>
      <c r="D115" s="9">
        <f>IFERROR(IF(114&gt;입력!B6*12,"",ROUND(E114*입력!B5/100/12,0)),0)</f>
        <v/>
      </c>
      <c r="E115" s="9">
        <f>IFERROR(IF(114&gt;입력!B6*12,"",E114-C115),0)</f>
        <v/>
      </c>
    </row>
    <row r="116">
      <c r="A116" s="8" t="n">
        <v>115</v>
      </c>
      <c r="B116" s="9">
        <f>IFERROR(IF(115&gt;입력!B6*12,"",IF(입력!B7="원리금균등",ROUND(-PMT(입력!B5/100/12,입력!B6*12,입력!B4),0),ROUND(입력!B4/(입력!B6*12)+E116*입력!B5/100/12,0))),0)</f>
        <v/>
      </c>
      <c r="C116" s="9">
        <f>IFERROR(IF(115&gt;입력!B6*12,"",B116-D116),0)</f>
        <v/>
      </c>
      <c r="D116" s="9">
        <f>IFERROR(IF(115&gt;입력!B6*12,"",ROUND(E115*입력!B5/100/12,0)),0)</f>
        <v/>
      </c>
      <c r="E116" s="9">
        <f>IFERROR(IF(115&gt;입력!B6*12,"",E115-C116),0)</f>
        <v/>
      </c>
    </row>
    <row r="117">
      <c r="A117" s="8" t="n">
        <v>116</v>
      </c>
      <c r="B117" s="9">
        <f>IFERROR(IF(116&gt;입력!B6*12,"",IF(입력!B7="원리금균등",ROUND(-PMT(입력!B5/100/12,입력!B6*12,입력!B4),0),ROUND(입력!B4/(입력!B6*12)+E117*입력!B5/100/12,0))),0)</f>
        <v/>
      </c>
      <c r="C117" s="9">
        <f>IFERROR(IF(116&gt;입력!B6*12,"",B117-D117),0)</f>
        <v/>
      </c>
      <c r="D117" s="9">
        <f>IFERROR(IF(116&gt;입력!B6*12,"",ROUND(E116*입력!B5/100/12,0)),0)</f>
        <v/>
      </c>
      <c r="E117" s="9">
        <f>IFERROR(IF(116&gt;입력!B6*12,"",E116-C117),0)</f>
        <v/>
      </c>
    </row>
    <row r="118">
      <c r="A118" s="8" t="n">
        <v>117</v>
      </c>
      <c r="B118" s="9">
        <f>IFERROR(IF(117&gt;입력!B6*12,"",IF(입력!B7="원리금균등",ROUND(-PMT(입력!B5/100/12,입력!B6*12,입력!B4),0),ROUND(입력!B4/(입력!B6*12)+E118*입력!B5/100/12,0))),0)</f>
        <v/>
      </c>
      <c r="C118" s="9">
        <f>IFERROR(IF(117&gt;입력!B6*12,"",B118-D118),0)</f>
        <v/>
      </c>
      <c r="D118" s="9">
        <f>IFERROR(IF(117&gt;입력!B6*12,"",ROUND(E117*입력!B5/100/12,0)),0)</f>
        <v/>
      </c>
      <c r="E118" s="9">
        <f>IFERROR(IF(117&gt;입력!B6*12,"",E117-C118),0)</f>
        <v/>
      </c>
    </row>
    <row r="119">
      <c r="A119" s="8" t="n">
        <v>118</v>
      </c>
      <c r="B119" s="9">
        <f>IFERROR(IF(118&gt;입력!B6*12,"",IF(입력!B7="원리금균등",ROUND(-PMT(입력!B5/100/12,입력!B6*12,입력!B4),0),ROUND(입력!B4/(입력!B6*12)+E119*입력!B5/100/12,0))),0)</f>
        <v/>
      </c>
      <c r="C119" s="9">
        <f>IFERROR(IF(118&gt;입력!B6*12,"",B119-D119),0)</f>
        <v/>
      </c>
      <c r="D119" s="9">
        <f>IFERROR(IF(118&gt;입력!B6*12,"",ROUND(E118*입력!B5/100/12,0)),0)</f>
        <v/>
      </c>
      <c r="E119" s="9">
        <f>IFERROR(IF(118&gt;입력!B6*12,"",E118-C119),0)</f>
        <v/>
      </c>
    </row>
    <row r="120">
      <c r="A120" s="8" t="n">
        <v>119</v>
      </c>
      <c r="B120" s="9">
        <f>IFERROR(IF(119&gt;입력!B6*12,"",IF(입력!B7="원리금균등",ROUND(-PMT(입력!B5/100/12,입력!B6*12,입력!B4),0),ROUND(입력!B4/(입력!B6*12)+E120*입력!B5/100/12,0))),0)</f>
        <v/>
      </c>
      <c r="C120" s="9">
        <f>IFERROR(IF(119&gt;입력!B6*12,"",B120-D120),0)</f>
        <v/>
      </c>
      <c r="D120" s="9">
        <f>IFERROR(IF(119&gt;입력!B6*12,"",ROUND(E119*입력!B5/100/12,0)),0)</f>
        <v/>
      </c>
      <c r="E120" s="9">
        <f>IFERROR(IF(119&gt;입력!B6*12,"",E119-C120),0)</f>
        <v/>
      </c>
    </row>
    <row r="121">
      <c r="A121" s="8" t="n">
        <v>120</v>
      </c>
      <c r="B121" s="9">
        <f>IFERROR(IF(120&gt;입력!B6*12,"",IF(입력!B7="원리금균등",ROUND(-PMT(입력!B5/100/12,입력!B6*12,입력!B4),0),ROUND(입력!B4/(입력!B6*12)+E121*입력!B5/100/12,0))),0)</f>
        <v/>
      </c>
      <c r="C121" s="9">
        <f>IFERROR(IF(120&gt;입력!B6*12,"",B121-D121),0)</f>
        <v/>
      </c>
      <c r="D121" s="9">
        <f>IFERROR(IF(120&gt;입력!B6*12,"",ROUND(E120*입력!B5/100/12,0)),0)</f>
        <v/>
      </c>
      <c r="E121" s="9">
        <f>IFERROR(IF(120&gt;입력!B6*12,"",E120-C121),0)</f>
        <v/>
      </c>
    </row>
    <row r="122">
      <c r="A122" s="8" t="n">
        <v>121</v>
      </c>
      <c r="B122" s="9">
        <f>IFERROR(IF(121&gt;입력!B6*12,"",IF(입력!B7="원리금균등",ROUND(-PMT(입력!B5/100/12,입력!B6*12,입력!B4),0),ROUND(입력!B4/(입력!B6*12)+E122*입력!B5/100/12,0))),0)</f>
        <v/>
      </c>
      <c r="C122" s="9">
        <f>IFERROR(IF(121&gt;입력!B6*12,"",B122-D122),0)</f>
        <v/>
      </c>
      <c r="D122" s="9">
        <f>IFERROR(IF(121&gt;입력!B6*12,"",ROUND(E121*입력!B5/100/12,0)),0)</f>
        <v/>
      </c>
      <c r="E122" s="9">
        <f>IFERROR(IF(121&gt;입력!B6*12,"",E121-C122),0)</f>
        <v/>
      </c>
    </row>
    <row r="123">
      <c r="A123" s="8" t="n">
        <v>122</v>
      </c>
      <c r="B123" s="9">
        <f>IFERROR(IF(122&gt;입력!B6*12,"",IF(입력!B7="원리금균등",ROUND(-PMT(입력!B5/100/12,입력!B6*12,입력!B4),0),ROUND(입력!B4/(입력!B6*12)+E123*입력!B5/100/12,0))),0)</f>
        <v/>
      </c>
      <c r="C123" s="9">
        <f>IFERROR(IF(122&gt;입력!B6*12,"",B123-D123),0)</f>
        <v/>
      </c>
      <c r="D123" s="9">
        <f>IFERROR(IF(122&gt;입력!B6*12,"",ROUND(E122*입력!B5/100/12,0)),0)</f>
        <v/>
      </c>
      <c r="E123" s="9">
        <f>IFERROR(IF(122&gt;입력!B6*12,"",E122-C123),0)</f>
        <v/>
      </c>
    </row>
    <row r="124">
      <c r="A124" s="8" t="n">
        <v>123</v>
      </c>
      <c r="B124" s="9">
        <f>IFERROR(IF(123&gt;입력!B6*12,"",IF(입력!B7="원리금균등",ROUND(-PMT(입력!B5/100/12,입력!B6*12,입력!B4),0),ROUND(입력!B4/(입력!B6*12)+E124*입력!B5/100/12,0))),0)</f>
        <v/>
      </c>
      <c r="C124" s="9">
        <f>IFERROR(IF(123&gt;입력!B6*12,"",B124-D124),0)</f>
        <v/>
      </c>
      <c r="D124" s="9">
        <f>IFERROR(IF(123&gt;입력!B6*12,"",ROUND(E123*입력!B5/100/12,0)),0)</f>
        <v/>
      </c>
      <c r="E124" s="9">
        <f>IFERROR(IF(123&gt;입력!B6*12,"",E123-C124),0)</f>
        <v/>
      </c>
    </row>
    <row r="125">
      <c r="A125" s="8" t="n">
        <v>124</v>
      </c>
      <c r="B125" s="9">
        <f>IFERROR(IF(124&gt;입력!B6*12,"",IF(입력!B7="원리금균등",ROUND(-PMT(입력!B5/100/12,입력!B6*12,입력!B4),0),ROUND(입력!B4/(입력!B6*12)+E125*입력!B5/100/12,0))),0)</f>
        <v/>
      </c>
      <c r="C125" s="9">
        <f>IFERROR(IF(124&gt;입력!B6*12,"",B125-D125),0)</f>
        <v/>
      </c>
      <c r="D125" s="9">
        <f>IFERROR(IF(124&gt;입력!B6*12,"",ROUND(E124*입력!B5/100/12,0)),0)</f>
        <v/>
      </c>
      <c r="E125" s="9">
        <f>IFERROR(IF(124&gt;입력!B6*12,"",E124-C125),0)</f>
        <v/>
      </c>
    </row>
    <row r="126">
      <c r="A126" s="8" t="n">
        <v>125</v>
      </c>
      <c r="B126" s="9">
        <f>IFERROR(IF(125&gt;입력!B6*12,"",IF(입력!B7="원리금균등",ROUND(-PMT(입력!B5/100/12,입력!B6*12,입력!B4),0),ROUND(입력!B4/(입력!B6*12)+E126*입력!B5/100/12,0))),0)</f>
        <v/>
      </c>
      <c r="C126" s="9">
        <f>IFERROR(IF(125&gt;입력!B6*12,"",B126-D126),0)</f>
        <v/>
      </c>
      <c r="D126" s="9">
        <f>IFERROR(IF(125&gt;입력!B6*12,"",ROUND(E125*입력!B5/100/12,0)),0)</f>
        <v/>
      </c>
      <c r="E126" s="9">
        <f>IFERROR(IF(125&gt;입력!B6*12,"",E125-C126),0)</f>
        <v/>
      </c>
    </row>
    <row r="127">
      <c r="A127" s="8" t="n">
        <v>126</v>
      </c>
      <c r="B127" s="9">
        <f>IFERROR(IF(126&gt;입력!B6*12,"",IF(입력!B7="원리금균등",ROUND(-PMT(입력!B5/100/12,입력!B6*12,입력!B4),0),ROUND(입력!B4/(입력!B6*12)+E127*입력!B5/100/12,0))),0)</f>
        <v/>
      </c>
      <c r="C127" s="9">
        <f>IFERROR(IF(126&gt;입력!B6*12,"",B127-D127),0)</f>
        <v/>
      </c>
      <c r="D127" s="9">
        <f>IFERROR(IF(126&gt;입력!B6*12,"",ROUND(E126*입력!B5/100/12,0)),0)</f>
        <v/>
      </c>
      <c r="E127" s="9">
        <f>IFERROR(IF(126&gt;입력!B6*12,"",E126-C127),0)</f>
        <v/>
      </c>
    </row>
    <row r="128">
      <c r="A128" s="8" t="n">
        <v>127</v>
      </c>
      <c r="B128" s="9">
        <f>IFERROR(IF(127&gt;입력!B6*12,"",IF(입력!B7="원리금균등",ROUND(-PMT(입력!B5/100/12,입력!B6*12,입력!B4),0),ROUND(입력!B4/(입력!B6*12)+E128*입력!B5/100/12,0))),0)</f>
        <v/>
      </c>
      <c r="C128" s="9">
        <f>IFERROR(IF(127&gt;입력!B6*12,"",B128-D128),0)</f>
        <v/>
      </c>
      <c r="D128" s="9">
        <f>IFERROR(IF(127&gt;입력!B6*12,"",ROUND(E127*입력!B5/100/12,0)),0)</f>
        <v/>
      </c>
      <c r="E128" s="9">
        <f>IFERROR(IF(127&gt;입력!B6*12,"",E127-C128),0)</f>
        <v/>
      </c>
    </row>
    <row r="129">
      <c r="A129" s="8" t="n">
        <v>128</v>
      </c>
      <c r="B129" s="9">
        <f>IFERROR(IF(128&gt;입력!B6*12,"",IF(입력!B7="원리금균등",ROUND(-PMT(입력!B5/100/12,입력!B6*12,입력!B4),0),ROUND(입력!B4/(입력!B6*12)+E129*입력!B5/100/12,0))),0)</f>
        <v/>
      </c>
      <c r="C129" s="9">
        <f>IFERROR(IF(128&gt;입력!B6*12,"",B129-D129),0)</f>
        <v/>
      </c>
      <c r="D129" s="9">
        <f>IFERROR(IF(128&gt;입력!B6*12,"",ROUND(E128*입력!B5/100/12,0)),0)</f>
        <v/>
      </c>
      <c r="E129" s="9">
        <f>IFERROR(IF(128&gt;입력!B6*12,"",E128-C129),0)</f>
        <v/>
      </c>
    </row>
    <row r="130">
      <c r="A130" s="8" t="n">
        <v>129</v>
      </c>
      <c r="B130" s="9">
        <f>IFERROR(IF(129&gt;입력!B6*12,"",IF(입력!B7="원리금균등",ROUND(-PMT(입력!B5/100/12,입력!B6*12,입력!B4),0),ROUND(입력!B4/(입력!B6*12)+E130*입력!B5/100/12,0))),0)</f>
        <v/>
      </c>
      <c r="C130" s="9">
        <f>IFERROR(IF(129&gt;입력!B6*12,"",B130-D130),0)</f>
        <v/>
      </c>
      <c r="D130" s="9">
        <f>IFERROR(IF(129&gt;입력!B6*12,"",ROUND(E129*입력!B5/100/12,0)),0)</f>
        <v/>
      </c>
      <c r="E130" s="9">
        <f>IFERROR(IF(129&gt;입력!B6*12,"",E129-C130),0)</f>
        <v/>
      </c>
    </row>
    <row r="131">
      <c r="A131" s="8" t="n">
        <v>130</v>
      </c>
      <c r="B131" s="9">
        <f>IFERROR(IF(130&gt;입력!B6*12,"",IF(입력!B7="원리금균등",ROUND(-PMT(입력!B5/100/12,입력!B6*12,입력!B4),0),ROUND(입력!B4/(입력!B6*12)+E131*입력!B5/100/12,0))),0)</f>
        <v/>
      </c>
      <c r="C131" s="9">
        <f>IFERROR(IF(130&gt;입력!B6*12,"",B131-D131),0)</f>
        <v/>
      </c>
      <c r="D131" s="9">
        <f>IFERROR(IF(130&gt;입력!B6*12,"",ROUND(E130*입력!B5/100/12,0)),0)</f>
        <v/>
      </c>
      <c r="E131" s="9">
        <f>IFERROR(IF(130&gt;입력!B6*12,"",E130-C131),0)</f>
        <v/>
      </c>
    </row>
    <row r="132">
      <c r="A132" s="8" t="n">
        <v>131</v>
      </c>
      <c r="B132" s="9">
        <f>IFERROR(IF(131&gt;입력!B6*12,"",IF(입력!B7="원리금균등",ROUND(-PMT(입력!B5/100/12,입력!B6*12,입력!B4),0),ROUND(입력!B4/(입력!B6*12)+E132*입력!B5/100/12,0))),0)</f>
        <v/>
      </c>
      <c r="C132" s="9">
        <f>IFERROR(IF(131&gt;입력!B6*12,"",B132-D132),0)</f>
        <v/>
      </c>
      <c r="D132" s="9">
        <f>IFERROR(IF(131&gt;입력!B6*12,"",ROUND(E131*입력!B5/100/12,0)),0)</f>
        <v/>
      </c>
      <c r="E132" s="9">
        <f>IFERROR(IF(131&gt;입력!B6*12,"",E131-C132),0)</f>
        <v/>
      </c>
    </row>
    <row r="133">
      <c r="A133" s="8" t="n">
        <v>132</v>
      </c>
      <c r="B133" s="9">
        <f>IFERROR(IF(132&gt;입력!B6*12,"",IF(입력!B7="원리금균등",ROUND(-PMT(입력!B5/100/12,입력!B6*12,입력!B4),0),ROUND(입력!B4/(입력!B6*12)+E133*입력!B5/100/12,0))),0)</f>
        <v/>
      </c>
      <c r="C133" s="9">
        <f>IFERROR(IF(132&gt;입력!B6*12,"",B133-D133),0)</f>
        <v/>
      </c>
      <c r="D133" s="9">
        <f>IFERROR(IF(132&gt;입력!B6*12,"",ROUND(E132*입력!B5/100/12,0)),0)</f>
        <v/>
      </c>
      <c r="E133" s="9">
        <f>IFERROR(IF(132&gt;입력!B6*12,"",E132-C133),0)</f>
        <v/>
      </c>
    </row>
    <row r="134">
      <c r="A134" s="8" t="n">
        <v>133</v>
      </c>
      <c r="B134" s="9">
        <f>IFERROR(IF(133&gt;입력!B6*12,"",IF(입력!B7="원리금균등",ROUND(-PMT(입력!B5/100/12,입력!B6*12,입력!B4),0),ROUND(입력!B4/(입력!B6*12)+E134*입력!B5/100/12,0))),0)</f>
        <v/>
      </c>
      <c r="C134" s="9">
        <f>IFERROR(IF(133&gt;입력!B6*12,"",B134-D134),0)</f>
        <v/>
      </c>
      <c r="D134" s="9">
        <f>IFERROR(IF(133&gt;입력!B6*12,"",ROUND(E133*입력!B5/100/12,0)),0)</f>
        <v/>
      </c>
      <c r="E134" s="9">
        <f>IFERROR(IF(133&gt;입력!B6*12,"",E133-C134),0)</f>
        <v/>
      </c>
    </row>
    <row r="135">
      <c r="A135" s="8" t="n">
        <v>134</v>
      </c>
      <c r="B135" s="9">
        <f>IFERROR(IF(134&gt;입력!B6*12,"",IF(입력!B7="원리금균등",ROUND(-PMT(입력!B5/100/12,입력!B6*12,입력!B4),0),ROUND(입력!B4/(입력!B6*12)+E135*입력!B5/100/12,0))),0)</f>
        <v/>
      </c>
      <c r="C135" s="9">
        <f>IFERROR(IF(134&gt;입력!B6*12,"",B135-D135),0)</f>
        <v/>
      </c>
      <c r="D135" s="9">
        <f>IFERROR(IF(134&gt;입력!B6*12,"",ROUND(E134*입력!B5/100/12,0)),0)</f>
        <v/>
      </c>
      <c r="E135" s="9">
        <f>IFERROR(IF(134&gt;입력!B6*12,"",E134-C135),0)</f>
        <v/>
      </c>
    </row>
    <row r="136">
      <c r="A136" s="8" t="n">
        <v>135</v>
      </c>
      <c r="B136" s="9">
        <f>IFERROR(IF(135&gt;입력!B6*12,"",IF(입력!B7="원리금균등",ROUND(-PMT(입력!B5/100/12,입력!B6*12,입력!B4),0),ROUND(입력!B4/(입력!B6*12)+E136*입력!B5/100/12,0))),0)</f>
        <v/>
      </c>
      <c r="C136" s="9">
        <f>IFERROR(IF(135&gt;입력!B6*12,"",B136-D136),0)</f>
        <v/>
      </c>
      <c r="D136" s="9">
        <f>IFERROR(IF(135&gt;입력!B6*12,"",ROUND(E135*입력!B5/100/12,0)),0)</f>
        <v/>
      </c>
      <c r="E136" s="9">
        <f>IFERROR(IF(135&gt;입력!B6*12,"",E135-C136),0)</f>
        <v/>
      </c>
    </row>
    <row r="137">
      <c r="A137" s="8" t="n">
        <v>136</v>
      </c>
      <c r="B137" s="9">
        <f>IFERROR(IF(136&gt;입력!B6*12,"",IF(입력!B7="원리금균등",ROUND(-PMT(입력!B5/100/12,입력!B6*12,입력!B4),0),ROUND(입력!B4/(입력!B6*12)+E137*입력!B5/100/12,0))),0)</f>
        <v/>
      </c>
      <c r="C137" s="9">
        <f>IFERROR(IF(136&gt;입력!B6*12,"",B137-D137),0)</f>
        <v/>
      </c>
      <c r="D137" s="9">
        <f>IFERROR(IF(136&gt;입력!B6*12,"",ROUND(E136*입력!B5/100/12,0)),0)</f>
        <v/>
      </c>
      <c r="E137" s="9">
        <f>IFERROR(IF(136&gt;입력!B6*12,"",E136-C137),0)</f>
        <v/>
      </c>
    </row>
    <row r="138">
      <c r="A138" s="8" t="n">
        <v>137</v>
      </c>
      <c r="B138" s="9">
        <f>IFERROR(IF(137&gt;입력!B6*12,"",IF(입력!B7="원리금균등",ROUND(-PMT(입력!B5/100/12,입력!B6*12,입력!B4),0),ROUND(입력!B4/(입력!B6*12)+E138*입력!B5/100/12,0))),0)</f>
        <v/>
      </c>
      <c r="C138" s="9">
        <f>IFERROR(IF(137&gt;입력!B6*12,"",B138-D138),0)</f>
        <v/>
      </c>
      <c r="D138" s="9">
        <f>IFERROR(IF(137&gt;입력!B6*12,"",ROUND(E137*입력!B5/100/12,0)),0)</f>
        <v/>
      </c>
      <c r="E138" s="9">
        <f>IFERROR(IF(137&gt;입력!B6*12,"",E137-C138),0)</f>
        <v/>
      </c>
    </row>
    <row r="139">
      <c r="A139" s="8" t="n">
        <v>138</v>
      </c>
      <c r="B139" s="9">
        <f>IFERROR(IF(138&gt;입력!B6*12,"",IF(입력!B7="원리금균등",ROUND(-PMT(입력!B5/100/12,입력!B6*12,입력!B4),0),ROUND(입력!B4/(입력!B6*12)+E139*입력!B5/100/12,0))),0)</f>
        <v/>
      </c>
      <c r="C139" s="9">
        <f>IFERROR(IF(138&gt;입력!B6*12,"",B139-D139),0)</f>
        <v/>
      </c>
      <c r="D139" s="9">
        <f>IFERROR(IF(138&gt;입력!B6*12,"",ROUND(E138*입력!B5/100/12,0)),0)</f>
        <v/>
      </c>
      <c r="E139" s="9">
        <f>IFERROR(IF(138&gt;입력!B6*12,"",E138-C139),0)</f>
        <v/>
      </c>
    </row>
    <row r="140">
      <c r="A140" s="8" t="n">
        <v>139</v>
      </c>
      <c r="B140" s="9">
        <f>IFERROR(IF(139&gt;입력!B6*12,"",IF(입력!B7="원리금균등",ROUND(-PMT(입력!B5/100/12,입력!B6*12,입력!B4),0),ROUND(입력!B4/(입력!B6*12)+E140*입력!B5/100/12,0))),0)</f>
        <v/>
      </c>
      <c r="C140" s="9">
        <f>IFERROR(IF(139&gt;입력!B6*12,"",B140-D140),0)</f>
        <v/>
      </c>
      <c r="D140" s="9">
        <f>IFERROR(IF(139&gt;입력!B6*12,"",ROUND(E139*입력!B5/100/12,0)),0)</f>
        <v/>
      </c>
      <c r="E140" s="9">
        <f>IFERROR(IF(139&gt;입력!B6*12,"",E139-C140),0)</f>
        <v/>
      </c>
    </row>
    <row r="141">
      <c r="A141" s="8" t="n">
        <v>140</v>
      </c>
      <c r="B141" s="9">
        <f>IFERROR(IF(140&gt;입력!B6*12,"",IF(입력!B7="원리금균등",ROUND(-PMT(입력!B5/100/12,입력!B6*12,입력!B4),0),ROUND(입력!B4/(입력!B6*12)+E141*입력!B5/100/12,0))),0)</f>
        <v/>
      </c>
      <c r="C141" s="9">
        <f>IFERROR(IF(140&gt;입력!B6*12,"",B141-D141),0)</f>
        <v/>
      </c>
      <c r="D141" s="9">
        <f>IFERROR(IF(140&gt;입력!B6*12,"",ROUND(E140*입력!B5/100/12,0)),0)</f>
        <v/>
      </c>
      <c r="E141" s="9">
        <f>IFERROR(IF(140&gt;입력!B6*12,"",E140-C141),0)</f>
        <v/>
      </c>
    </row>
    <row r="142">
      <c r="A142" s="8" t="n">
        <v>141</v>
      </c>
      <c r="B142" s="9">
        <f>IFERROR(IF(141&gt;입력!B6*12,"",IF(입력!B7="원리금균등",ROUND(-PMT(입력!B5/100/12,입력!B6*12,입력!B4),0),ROUND(입력!B4/(입력!B6*12)+E142*입력!B5/100/12,0))),0)</f>
        <v/>
      </c>
      <c r="C142" s="9">
        <f>IFERROR(IF(141&gt;입력!B6*12,"",B142-D142),0)</f>
        <v/>
      </c>
      <c r="D142" s="9">
        <f>IFERROR(IF(141&gt;입력!B6*12,"",ROUND(E141*입력!B5/100/12,0)),0)</f>
        <v/>
      </c>
      <c r="E142" s="9">
        <f>IFERROR(IF(141&gt;입력!B6*12,"",E141-C142),0)</f>
        <v/>
      </c>
    </row>
    <row r="143">
      <c r="A143" s="8" t="n">
        <v>142</v>
      </c>
      <c r="B143" s="9">
        <f>IFERROR(IF(142&gt;입력!B6*12,"",IF(입력!B7="원리금균등",ROUND(-PMT(입력!B5/100/12,입력!B6*12,입력!B4),0),ROUND(입력!B4/(입력!B6*12)+E143*입력!B5/100/12,0))),0)</f>
        <v/>
      </c>
      <c r="C143" s="9">
        <f>IFERROR(IF(142&gt;입력!B6*12,"",B143-D143),0)</f>
        <v/>
      </c>
      <c r="D143" s="9">
        <f>IFERROR(IF(142&gt;입력!B6*12,"",ROUND(E142*입력!B5/100/12,0)),0)</f>
        <v/>
      </c>
      <c r="E143" s="9">
        <f>IFERROR(IF(142&gt;입력!B6*12,"",E142-C143),0)</f>
        <v/>
      </c>
    </row>
    <row r="144">
      <c r="A144" s="8" t="n">
        <v>143</v>
      </c>
      <c r="B144" s="9">
        <f>IFERROR(IF(143&gt;입력!B6*12,"",IF(입력!B7="원리금균등",ROUND(-PMT(입력!B5/100/12,입력!B6*12,입력!B4),0),ROUND(입력!B4/(입력!B6*12)+E144*입력!B5/100/12,0))),0)</f>
        <v/>
      </c>
      <c r="C144" s="9">
        <f>IFERROR(IF(143&gt;입력!B6*12,"",B144-D144),0)</f>
        <v/>
      </c>
      <c r="D144" s="9">
        <f>IFERROR(IF(143&gt;입력!B6*12,"",ROUND(E143*입력!B5/100/12,0)),0)</f>
        <v/>
      </c>
      <c r="E144" s="9">
        <f>IFERROR(IF(143&gt;입력!B6*12,"",E143-C144),0)</f>
        <v/>
      </c>
    </row>
    <row r="145">
      <c r="A145" s="8" t="n">
        <v>144</v>
      </c>
      <c r="B145" s="9">
        <f>IFERROR(IF(144&gt;입력!B6*12,"",IF(입력!B7="원리금균등",ROUND(-PMT(입력!B5/100/12,입력!B6*12,입력!B4),0),ROUND(입력!B4/(입력!B6*12)+E145*입력!B5/100/12,0))),0)</f>
        <v/>
      </c>
      <c r="C145" s="9">
        <f>IFERROR(IF(144&gt;입력!B6*12,"",B145-D145),0)</f>
        <v/>
      </c>
      <c r="D145" s="9">
        <f>IFERROR(IF(144&gt;입력!B6*12,"",ROUND(E144*입력!B5/100/12,0)),0)</f>
        <v/>
      </c>
      <c r="E145" s="9">
        <f>IFERROR(IF(144&gt;입력!B6*12,"",E144-C145),0)</f>
        <v/>
      </c>
    </row>
    <row r="146">
      <c r="A146" s="8" t="n">
        <v>145</v>
      </c>
      <c r="B146" s="9">
        <f>IFERROR(IF(145&gt;입력!B6*12,"",IF(입력!B7="원리금균등",ROUND(-PMT(입력!B5/100/12,입력!B6*12,입력!B4),0),ROUND(입력!B4/(입력!B6*12)+E146*입력!B5/100/12,0))),0)</f>
        <v/>
      </c>
      <c r="C146" s="9">
        <f>IFERROR(IF(145&gt;입력!B6*12,"",B146-D146),0)</f>
        <v/>
      </c>
      <c r="D146" s="9">
        <f>IFERROR(IF(145&gt;입력!B6*12,"",ROUND(E145*입력!B5/100/12,0)),0)</f>
        <v/>
      </c>
      <c r="E146" s="9">
        <f>IFERROR(IF(145&gt;입력!B6*12,"",E145-C146),0)</f>
        <v/>
      </c>
    </row>
    <row r="147">
      <c r="A147" s="8" t="n">
        <v>146</v>
      </c>
      <c r="B147" s="9">
        <f>IFERROR(IF(146&gt;입력!B6*12,"",IF(입력!B7="원리금균등",ROUND(-PMT(입력!B5/100/12,입력!B6*12,입력!B4),0),ROUND(입력!B4/(입력!B6*12)+E147*입력!B5/100/12,0))),0)</f>
        <v/>
      </c>
      <c r="C147" s="9">
        <f>IFERROR(IF(146&gt;입력!B6*12,"",B147-D147),0)</f>
        <v/>
      </c>
      <c r="D147" s="9">
        <f>IFERROR(IF(146&gt;입력!B6*12,"",ROUND(E146*입력!B5/100/12,0)),0)</f>
        <v/>
      </c>
      <c r="E147" s="9">
        <f>IFERROR(IF(146&gt;입력!B6*12,"",E146-C147),0)</f>
        <v/>
      </c>
    </row>
    <row r="148">
      <c r="A148" s="8" t="n">
        <v>147</v>
      </c>
      <c r="B148" s="9">
        <f>IFERROR(IF(147&gt;입력!B6*12,"",IF(입력!B7="원리금균등",ROUND(-PMT(입력!B5/100/12,입력!B6*12,입력!B4),0),ROUND(입력!B4/(입력!B6*12)+E148*입력!B5/100/12,0))),0)</f>
        <v/>
      </c>
      <c r="C148" s="9">
        <f>IFERROR(IF(147&gt;입력!B6*12,"",B148-D148),0)</f>
        <v/>
      </c>
      <c r="D148" s="9">
        <f>IFERROR(IF(147&gt;입력!B6*12,"",ROUND(E147*입력!B5/100/12,0)),0)</f>
        <v/>
      </c>
      <c r="E148" s="9">
        <f>IFERROR(IF(147&gt;입력!B6*12,"",E147-C148),0)</f>
        <v/>
      </c>
    </row>
    <row r="149">
      <c r="A149" s="8" t="n">
        <v>148</v>
      </c>
      <c r="B149" s="9">
        <f>IFERROR(IF(148&gt;입력!B6*12,"",IF(입력!B7="원리금균등",ROUND(-PMT(입력!B5/100/12,입력!B6*12,입력!B4),0),ROUND(입력!B4/(입력!B6*12)+E149*입력!B5/100/12,0))),0)</f>
        <v/>
      </c>
      <c r="C149" s="9">
        <f>IFERROR(IF(148&gt;입력!B6*12,"",B149-D149),0)</f>
        <v/>
      </c>
      <c r="D149" s="9">
        <f>IFERROR(IF(148&gt;입력!B6*12,"",ROUND(E148*입력!B5/100/12,0)),0)</f>
        <v/>
      </c>
      <c r="E149" s="9">
        <f>IFERROR(IF(148&gt;입력!B6*12,"",E148-C149),0)</f>
        <v/>
      </c>
    </row>
    <row r="150">
      <c r="A150" s="8" t="n">
        <v>149</v>
      </c>
      <c r="B150" s="9">
        <f>IFERROR(IF(149&gt;입력!B6*12,"",IF(입력!B7="원리금균등",ROUND(-PMT(입력!B5/100/12,입력!B6*12,입력!B4),0),ROUND(입력!B4/(입력!B6*12)+E150*입력!B5/100/12,0))),0)</f>
        <v/>
      </c>
      <c r="C150" s="9">
        <f>IFERROR(IF(149&gt;입력!B6*12,"",B150-D150),0)</f>
        <v/>
      </c>
      <c r="D150" s="9">
        <f>IFERROR(IF(149&gt;입력!B6*12,"",ROUND(E149*입력!B5/100/12,0)),0)</f>
        <v/>
      </c>
      <c r="E150" s="9">
        <f>IFERROR(IF(149&gt;입력!B6*12,"",E149-C150),0)</f>
        <v/>
      </c>
    </row>
    <row r="151">
      <c r="A151" s="8" t="n">
        <v>150</v>
      </c>
      <c r="B151" s="9">
        <f>IFERROR(IF(150&gt;입력!B6*12,"",IF(입력!B7="원리금균등",ROUND(-PMT(입력!B5/100/12,입력!B6*12,입력!B4),0),ROUND(입력!B4/(입력!B6*12)+E151*입력!B5/100/12,0))),0)</f>
        <v/>
      </c>
      <c r="C151" s="9">
        <f>IFERROR(IF(150&gt;입력!B6*12,"",B151-D151),0)</f>
        <v/>
      </c>
      <c r="D151" s="9">
        <f>IFERROR(IF(150&gt;입력!B6*12,"",ROUND(E150*입력!B5/100/12,0)),0)</f>
        <v/>
      </c>
      <c r="E151" s="9">
        <f>IFERROR(IF(150&gt;입력!B6*12,"",E150-C151),0)</f>
        <v/>
      </c>
    </row>
    <row r="152">
      <c r="A152" s="8" t="n">
        <v>151</v>
      </c>
      <c r="B152" s="9">
        <f>IFERROR(IF(151&gt;입력!B6*12,"",IF(입력!B7="원리금균등",ROUND(-PMT(입력!B5/100/12,입력!B6*12,입력!B4),0),ROUND(입력!B4/(입력!B6*12)+E152*입력!B5/100/12,0))),0)</f>
        <v/>
      </c>
      <c r="C152" s="9">
        <f>IFERROR(IF(151&gt;입력!B6*12,"",B152-D152),0)</f>
        <v/>
      </c>
      <c r="D152" s="9">
        <f>IFERROR(IF(151&gt;입력!B6*12,"",ROUND(E151*입력!B5/100/12,0)),0)</f>
        <v/>
      </c>
      <c r="E152" s="9">
        <f>IFERROR(IF(151&gt;입력!B6*12,"",E151-C152),0)</f>
        <v/>
      </c>
    </row>
    <row r="153">
      <c r="A153" s="8" t="n">
        <v>152</v>
      </c>
      <c r="B153" s="9">
        <f>IFERROR(IF(152&gt;입력!B6*12,"",IF(입력!B7="원리금균등",ROUND(-PMT(입력!B5/100/12,입력!B6*12,입력!B4),0),ROUND(입력!B4/(입력!B6*12)+E153*입력!B5/100/12,0))),0)</f>
        <v/>
      </c>
      <c r="C153" s="9">
        <f>IFERROR(IF(152&gt;입력!B6*12,"",B153-D153),0)</f>
        <v/>
      </c>
      <c r="D153" s="9">
        <f>IFERROR(IF(152&gt;입력!B6*12,"",ROUND(E152*입력!B5/100/12,0)),0)</f>
        <v/>
      </c>
      <c r="E153" s="9">
        <f>IFERROR(IF(152&gt;입력!B6*12,"",E152-C153),0)</f>
        <v/>
      </c>
    </row>
    <row r="154">
      <c r="A154" s="8" t="n">
        <v>153</v>
      </c>
      <c r="B154" s="9">
        <f>IFERROR(IF(153&gt;입력!B6*12,"",IF(입력!B7="원리금균등",ROUND(-PMT(입력!B5/100/12,입력!B6*12,입력!B4),0),ROUND(입력!B4/(입력!B6*12)+E154*입력!B5/100/12,0))),0)</f>
        <v/>
      </c>
      <c r="C154" s="9">
        <f>IFERROR(IF(153&gt;입력!B6*12,"",B154-D154),0)</f>
        <v/>
      </c>
      <c r="D154" s="9">
        <f>IFERROR(IF(153&gt;입력!B6*12,"",ROUND(E153*입력!B5/100/12,0)),0)</f>
        <v/>
      </c>
      <c r="E154" s="9">
        <f>IFERROR(IF(153&gt;입력!B6*12,"",E153-C154),0)</f>
        <v/>
      </c>
    </row>
    <row r="155">
      <c r="A155" s="8" t="n">
        <v>154</v>
      </c>
      <c r="B155" s="9">
        <f>IFERROR(IF(154&gt;입력!B6*12,"",IF(입력!B7="원리금균등",ROUND(-PMT(입력!B5/100/12,입력!B6*12,입력!B4),0),ROUND(입력!B4/(입력!B6*12)+E155*입력!B5/100/12,0))),0)</f>
        <v/>
      </c>
      <c r="C155" s="9">
        <f>IFERROR(IF(154&gt;입력!B6*12,"",B155-D155),0)</f>
        <v/>
      </c>
      <c r="D155" s="9">
        <f>IFERROR(IF(154&gt;입력!B6*12,"",ROUND(E154*입력!B5/100/12,0)),0)</f>
        <v/>
      </c>
      <c r="E155" s="9">
        <f>IFERROR(IF(154&gt;입력!B6*12,"",E154-C155),0)</f>
        <v/>
      </c>
    </row>
    <row r="156">
      <c r="A156" s="8" t="n">
        <v>155</v>
      </c>
      <c r="B156" s="9">
        <f>IFERROR(IF(155&gt;입력!B6*12,"",IF(입력!B7="원리금균등",ROUND(-PMT(입력!B5/100/12,입력!B6*12,입력!B4),0),ROUND(입력!B4/(입력!B6*12)+E156*입력!B5/100/12,0))),0)</f>
        <v/>
      </c>
      <c r="C156" s="9">
        <f>IFERROR(IF(155&gt;입력!B6*12,"",B156-D156),0)</f>
        <v/>
      </c>
      <c r="D156" s="9">
        <f>IFERROR(IF(155&gt;입력!B6*12,"",ROUND(E155*입력!B5/100/12,0)),0)</f>
        <v/>
      </c>
      <c r="E156" s="9">
        <f>IFERROR(IF(155&gt;입력!B6*12,"",E155-C156),0)</f>
        <v/>
      </c>
    </row>
    <row r="157">
      <c r="A157" s="8" t="n">
        <v>156</v>
      </c>
      <c r="B157" s="9">
        <f>IFERROR(IF(156&gt;입력!B6*12,"",IF(입력!B7="원리금균등",ROUND(-PMT(입력!B5/100/12,입력!B6*12,입력!B4),0),ROUND(입력!B4/(입력!B6*12)+E157*입력!B5/100/12,0))),0)</f>
        <v/>
      </c>
      <c r="C157" s="9">
        <f>IFERROR(IF(156&gt;입력!B6*12,"",B157-D157),0)</f>
        <v/>
      </c>
      <c r="D157" s="9">
        <f>IFERROR(IF(156&gt;입력!B6*12,"",ROUND(E156*입력!B5/100/12,0)),0)</f>
        <v/>
      </c>
      <c r="E157" s="9">
        <f>IFERROR(IF(156&gt;입력!B6*12,"",E156-C157),0)</f>
        <v/>
      </c>
    </row>
    <row r="158">
      <c r="A158" s="8" t="n">
        <v>157</v>
      </c>
      <c r="B158" s="9">
        <f>IFERROR(IF(157&gt;입력!B6*12,"",IF(입력!B7="원리금균등",ROUND(-PMT(입력!B5/100/12,입력!B6*12,입력!B4),0),ROUND(입력!B4/(입력!B6*12)+E158*입력!B5/100/12,0))),0)</f>
        <v/>
      </c>
      <c r="C158" s="9">
        <f>IFERROR(IF(157&gt;입력!B6*12,"",B158-D158),0)</f>
        <v/>
      </c>
      <c r="D158" s="9">
        <f>IFERROR(IF(157&gt;입력!B6*12,"",ROUND(E157*입력!B5/100/12,0)),0)</f>
        <v/>
      </c>
      <c r="E158" s="9">
        <f>IFERROR(IF(157&gt;입력!B6*12,"",E157-C158),0)</f>
        <v/>
      </c>
    </row>
    <row r="159">
      <c r="A159" s="8" t="n">
        <v>158</v>
      </c>
      <c r="B159" s="9">
        <f>IFERROR(IF(158&gt;입력!B6*12,"",IF(입력!B7="원리금균등",ROUND(-PMT(입력!B5/100/12,입력!B6*12,입력!B4),0),ROUND(입력!B4/(입력!B6*12)+E159*입력!B5/100/12,0))),0)</f>
        <v/>
      </c>
      <c r="C159" s="9">
        <f>IFERROR(IF(158&gt;입력!B6*12,"",B159-D159),0)</f>
        <v/>
      </c>
      <c r="D159" s="9">
        <f>IFERROR(IF(158&gt;입력!B6*12,"",ROUND(E158*입력!B5/100/12,0)),0)</f>
        <v/>
      </c>
      <c r="E159" s="9">
        <f>IFERROR(IF(158&gt;입력!B6*12,"",E158-C159),0)</f>
        <v/>
      </c>
    </row>
    <row r="160">
      <c r="A160" s="8" t="n">
        <v>159</v>
      </c>
      <c r="B160" s="9">
        <f>IFERROR(IF(159&gt;입력!B6*12,"",IF(입력!B7="원리금균등",ROUND(-PMT(입력!B5/100/12,입력!B6*12,입력!B4),0),ROUND(입력!B4/(입력!B6*12)+E160*입력!B5/100/12,0))),0)</f>
        <v/>
      </c>
      <c r="C160" s="9">
        <f>IFERROR(IF(159&gt;입력!B6*12,"",B160-D160),0)</f>
        <v/>
      </c>
      <c r="D160" s="9">
        <f>IFERROR(IF(159&gt;입력!B6*12,"",ROUND(E159*입력!B5/100/12,0)),0)</f>
        <v/>
      </c>
      <c r="E160" s="9">
        <f>IFERROR(IF(159&gt;입력!B6*12,"",E159-C160),0)</f>
        <v/>
      </c>
    </row>
    <row r="161">
      <c r="A161" s="8" t="n">
        <v>160</v>
      </c>
      <c r="B161" s="9">
        <f>IFERROR(IF(160&gt;입력!B6*12,"",IF(입력!B7="원리금균등",ROUND(-PMT(입력!B5/100/12,입력!B6*12,입력!B4),0),ROUND(입력!B4/(입력!B6*12)+E161*입력!B5/100/12,0))),0)</f>
        <v/>
      </c>
      <c r="C161" s="9">
        <f>IFERROR(IF(160&gt;입력!B6*12,"",B161-D161),0)</f>
        <v/>
      </c>
      <c r="D161" s="9">
        <f>IFERROR(IF(160&gt;입력!B6*12,"",ROUND(E160*입력!B5/100/12,0)),0)</f>
        <v/>
      </c>
      <c r="E161" s="9">
        <f>IFERROR(IF(160&gt;입력!B6*12,"",E160-C161),0)</f>
        <v/>
      </c>
    </row>
    <row r="162">
      <c r="A162" s="8" t="n">
        <v>161</v>
      </c>
      <c r="B162" s="9">
        <f>IFERROR(IF(161&gt;입력!B6*12,"",IF(입력!B7="원리금균등",ROUND(-PMT(입력!B5/100/12,입력!B6*12,입력!B4),0),ROUND(입력!B4/(입력!B6*12)+E162*입력!B5/100/12,0))),0)</f>
        <v/>
      </c>
      <c r="C162" s="9">
        <f>IFERROR(IF(161&gt;입력!B6*12,"",B162-D162),0)</f>
        <v/>
      </c>
      <c r="D162" s="9">
        <f>IFERROR(IF(161&gt;입력!B6*12,"",ROUND(E161*입력!B5/100/12,0)),0)</f>
        <v/>
      </c>
      <c r="E162" s="9">
        <f>IFERROR(IF(161&gt;입력!B6*12,"",E161-C162),0)</f>
        <v/>
      </c>
    </row>
    <row r="163">
      <c r="A163" s="8" t="n">
        <v>162</v>
      </c>
      <c r="B163" s="9">
        <f>IFERROR(IF(162&gt;입력!B6*12,"",IF(입력!B7="원리금균등",ROUND(-PMT(입력!B5/100/12,입력!B6*12,입력!B4),0),ROUND(입력!B4/(입력!B6*12)+E163*입력!B5/100/12,0))),0)</f>
        <v/>
      </c>
      <c r="C163" s="9">
        <f>IFERROR(IF(162&gt;입력!B6*12,"",B163-D163),0)</f>
        <v/>
      </c>
      <c r="D163" s="9">
        <f>IFERROR(IF(162&gt;입력!B6*12,"",ROUND(E162*입력!B5/100/12,0)),0)</f>
        <v/>
      </c>
      <c r="E163" s="9">
        <f>IFERROR(IF(162&gt;입력!B6*12,"",E162-C163),0)</f>
        <v/>
      </c>
    </row>
    <row r="164">
      <c r="A164" s="8" t="n">
        <v>163</v>
      </c>
      <c r="B164" s="9">
        <f>IFERROR(IF(163&gt;입력!B6*12,"",IF(입력!B7="원리금균등",ROUND(-PMT(입력!B5/100/12,입력!B6*12,입력!B4),0),ROUND(입력!B4/(입력!B6*12)+E164*입력!B5/100/12,0))),0)</f>
        <v/>
      </c>
      <c r="C164" s="9">
        <f>IFERROR(IF(163&gt;입력!B6*12,"",B164-D164),0)</f>
        <v/>
      </c>
      <c r="D164" s="9">
        <f>IFERROR(IF(163&gt;입력!B6*12,"",ROUND(E163*입력!B5/100/12,0)),0)</f>
        <v/>
      </c>
      <c r="E164" s="9">
        <f>IFERROR(IF(163&gt;입력!B6*12,"",E163-C164),0)</f>
        <v/>
      </c>
    </row>
    <row r="165">
      <c r="A165" s="8" t="n">
        <v>164</v>
      </c>
      <c r="B165" s="9">
        <f>IFERROR(IF(164&gt;입력!B6*12,"",IF(입력!B7="원리금균등",ROUND(-PMT(입력!B5/100/12,입력!B6*12,입력!B4),0),ROUND(입력!B4/(입력!B6*12)+E165*입력!B5/100/12,0))),0)</f>
        <v/>
      </c>
      <c r="C165" s="9">
        <f>IFERROR(IF(164&gt;입력!B6*12,"",B165-D165),0)</f>
        <v/>
      </c>
      <c r="D165" s="9">
        <f>IFERROR(IF(164&gt;입력!B6*12,"",ROUND(E164*입력!B5/100/12,0)),0)</f>
        <v/>
      </c>
      <c r="E165" s="9">
        <f>IFERROR(IF(164&gt;입력!B6*12,"",E164-C165),0)</f>
        <v/>
      </c>
    </row>
    <row r="166">
      <c r="A166" s="8" t="n">
        <v>165</v>
      </c>
      <c r="B166" s="9">
        <f>IFERROR(IF(165&gt;입력!B6*12,"",IF(입력!B7="원리금균등",ROUND(-PMT(입력!B5/100/12,입력!B6*12,입력!B4),0),ROUND(입력!B4/(입력!B6*12)+E166*입력!B5/100/12,0))),0)</f>
        <v/>
      </c>
      <c r="C166" s="9">
        <f>IFERROR(IF(165&gt;입력!B6*12,"",B166-D166),0)</f>
        <v/>
      </c>
      <c r="D166" s="9">
        <f>IFERROR(IF(165&gt;입력!B6*12,"",ROUND(E165*입력!B5/100/12,0)),0)</f>
        <v/>
      </c>
      <c r="E166" s="9">
        <f>IFERROR(IF(165&gt;입력!B6*12,"",E165-C166),0)</f>
        <v/>
      </c>
    </row>
    <row r="167">
      <c r="A167" s="8" t="n">
        <v>166</v>
      </c>
      <c r="B167" s="9">
        <f>IFERROR(IF(166&gt;입력!B6*12,"",IF(입력!B7="원리금균등",ROUND(-PMT(입력!B5/100/12,입력!B6*12,입력!B4),0),ROUND(입력!B4/(입력!B6*12)+E167*입력!B5/100/12,0))),0)</f>
        <v/>
      </c>
      <c r="C167" s="9">
        <f>IFERROR(IF(166&gt;입력!B6*12,"",B167-D167),0)</f>
        <v/>
      </c>
      <c r="D167" s="9">
        <f>IFERROR(IF(166&gt;입력!B6*12,"",ROUND(E166*입력!B5/100/12,0)),0)</f>
        <v/>
      </c>
      <c r="E167" s="9">
        <f>IFERROR(IF(166&gt;입력!B6*12,"",E166-C167),0)</f>
        <v/>
      </c>
    </row>
    <row r="168">
      <c r="A168" s="8" t="n">
        <v>167</v>
      </c>
      <c r="B168" s="9">
        <f>IFERROR(IF(167&gt;입력!B6*12,"",IF(입력!B7="원리금균등",ROUND(-PMT(입력!B5/100/12,입력!B6*12,입력!B4),0),ROUND(입력!B4/(입력!B6*12)+E168*입력!B5/100/12,0))),0)</f>
        <v/>
      </c>
      <c r="C168" s="9">
        <f>IFERROR(IF(167&gt;입력!B6*12,"",B168-D168),0)</f>
        <v/>
      </c>
      <c r="D168" s="9">
        <f>IFERROR(IF(167&gt;입력!B6*12,"",ROUND(E167*입력!B5/100/12,0)),0)</f>
        <v/>
      </c>
      <c r="E168" s="9">
        <f>IFERROR(IF(167&gt;입력!B6*12,"",E167-C168),0)</f>
        <v/>
      </c>
    </row>
    <row r="169">
      <c r="A169" s="8" t="n">
        <v>168</v>
      </c>
      <c r="B169" s="9">
        <f>IFERROR(IF(168&gt;입력!B6*12,"",IF(입력!B7="원리금균등",ROUND(-PMT(입력!B5/100/12,입력!B6*12,입력!B4),0),ROUND(입력!B4/(입력!B6*12)+E169*입력!B5/100/12,0))),0)</f>
        <v/>
      </c>
      <c r="C169" s="9">
        <f>IFERROR(IF(168&gt;입력!B6*12,"",B169-D169),0)</f>
        <v/>
      </c>
      <c r="D169" s="9">
        <f>IFERROR(IF(168&gt;입력!B6*12,"",ROUND(E168*입력!B5/100/12,0)),0)</f>
        <v/>
      </c>
      <c r="E169" s="9">
        <f>IFERROR(IF(168&gt;입력!B6*12,"",E168-C169),0)</f>
        <v/>
      </c>
    </row>
    <row r="170">
      <c r="A170" s="8" t="n">
        <v>169</v>
      </c>
      <c r="B170" s="9">
        <f>IFERROR(IF(169&gt;입력!B6*12,"",IF(입력!B7="원리금균등",ROUND(-PMT(입력!B5/100/12,입력!B6*12,입력!B4),0),ROUND(입력!B4/(입력!B6*12)+E170*입력!B5/100/12,0))),0)</f>
        <v/>
      </c>
      <c r="C170" s="9">
        <f>IFERROR(IF(169&gt;입력!B6*12,"",B170-D170),0)</f>
        <v/>
      </c>
      <c r="D170" s="9">
        <f>IFERROR(IF(169&gt;입력!B6*12,"",ROUND(E169*입력!B5/100/12,0)),0)</f>
        <v/>
      </c>
      <c r="E170" s="9">
        <f>IFERROR(IF(169&gt;입력!B6*12,"",E169-C170),0)</f>
        <v/>
      </c>
    </row>
    <row r="171">
      <c r="A171" s="8" t="n">
        <v>170</v>
      </c>
      <c r="B171" s="9">
        <f>IFERROR(IF(170&gt;입력!B6*12,"",IF(입력!B7="원리금균등",ROUND(-PMT(입력!B5/100/12,입력!B6*12,입력!B4),0),ROUND(입력!B4/(입력!B6*12)+E171*입력!B5/100/12,0))),0)</f>
        <v/>
      </c>
      <c r="C171" s="9">
        <f>IFERROR(IF(170&gt;입력!B6*12,"",B171-D171),0)</f>
        <v/>
      </c>
      <c r="D171" s="9">
        <f>IFERROR(IF(170&gt;입력!B6*12,"",ROUND(E170*입력!B5/100/12,0)),0)</f>
        <v/>
      </c>
      <c r="E171" s="9">
        <f>IFERROR(IF(170&gt;입력!B6*12,"",E170-C171),0)</f>
        <v/>
      </c>
    </row>
    <row r="172">
      <c r="A172" s="8" t="n">
        <v>171</v>
      </c>
      <c r="B172" s="9">
        <f>IFERROR(IF(171&gt;입력!B6*12,"",IF(입력!B7="원리금균등",ROUND(-PMT(입력!B5/100/12,입력!B6*12,입력!B4),0),ROUND(입력!B4/(입력!B6*12)+E172*입력!B5/100/12,0))),0)</f>
        <v/>
      </c>
      <c r="C172" s="9">
        <f>IFERROR(IF(171&gt;입력!B6*12,"",B172-D172),0)</f>
        <v/>
      </c>
      <c r="D172" s="9">
        <f>IFERROR(IF(171&gt;입력!B6*12,"",ROUND(E171*입력!B5/100/12,0)),0)</f>
        <v/>
      </c>
      <c r="E172" s="9">
        <f>IFERROR(IF(171&gt;입력!B6*12,"",E171-C172),0)</f>
        <v/>
      </c>
    </row>
    <row r="173">
      <c r="A173" s="8" t="n">
        <v>172</v>
      </c>
      <c r="B173" s="9">
        <f>IFERROR(IF(172&gt;입력!B6*12,"",IF(입력!B7="원리금균등",ROUND(-PMT(입력!B5/100/12,입력!B6*12,입력!B4),0),ROUND(입력!B4/(입력!B6*12)+E173*입력!B5/100/12,0))),0)</f>
        <v/>
      </c>
      <c r="C173" s="9">
        <f>IFERROR(IF(172&gt;입력!B6*12,"",B173-D173),0)</f>
        <v/>
      </c>
      <c r="D173" s="9">
        <f>IFERROR(IF(172&gt;입력!B6*12,"",ROUND(E172*입력!B5/100/12,0)),0)</f>
        <v/>
      </c>
      <c r="E173" s="9">
        <f>IFERROR(IF(172&gt;입력!B6*12,"",E172-C173),0)</f>
        <v/>
      </c>
    </row>
    <row r="174">
      <c r="A174" s="8" t="n">
        <v>173</v>
      </c>
      <c r="B174" s="9">
        <f>IFERROR(IF(173&gt;입력!B6*12,"",IF(입력!B7="원리금균등",ROUND(-PMT(입력!B5/100/12,입력!B6*12,입력!B4),0),ROUND(입력!B4/(입력!B6*12)+E174*입력!B5/100/12,0))),0)</f>
        <v/>
      </c>
      <c r="C174" s="9">
        <f>IFERROR(IF(173&gt;입력!B6*12,"",B174-D174),0)</f>
        <v/>
      </c>
      <c r="D174" s="9">
        <f>IFERROR(IF(173&gt;입력!B6*12,"",ROUND(E173*입력!B5/100/12,0)),0)</f>
        <v/>
      </c>
      <c r="E174" s="9">
        <f>IFERROR(IF(173&gt;입력!B6*12,"",E173-C174),0)</f>
        <v/>
      </c>
    </row>
    <row r="175">
      <c r="A175" s="8" t="n">
        <v>174</v>
      </c>
      <c r="B175" s="9">
        <f>IFERROR(IF(174&gt;입력!B6*12,"",IF(입력!B7="원리금균등",ROUND(-PMT(입력!B5/100/12,입력!B6*12,입력!B4),0),ROUND(입력!B4/(입력!B6*12)+E175*입력!B5/100/12,0))),0)</f>
        <v/>
      </c>
      <c r="C175" s="9">
        <f>IFERROR(IF(174&gt;입력!B6*12,"",B175-D175),0)</f>
        <v/>
      </c>
      <c r="D175" s="9">
        <f>IFERROR(IF(174&gt;입력!B6*12,"",ROUND(E174*입력!B5/100/12,0)),0)</f>
        <v/>
      </c>
      <c r="E175" s="9">
        <f>IFERROR(IF(174&gt;입력!B6*12,"",E174-C175),0)</f>
        <v/>
      </c>
    </row>
    <row r="176">
      <c r="A176" s="8" t="n">
        <v>175</v>
      </c>
      <c r="B176" s="9">
        <f>IFERROR(IF(175&gt;입력!B6*12,"",IF(입력!B7="원리금균등",ROUND(-PMT(입력!B5/100/12,입력!B6*12,입력!B4),0),ROUND(입력!B4/(입력!B6*12)+E176*입력!B5/100/12,0))),0)</f>
        <v/>
      </c>
      <c r="C176" s="9">
        <f>IFERROR(IF(175&gt;입력!B6*12,"",B176-D176),0)</f>
        <v/>
      </c>
      <c r="D176" s="9">
        <f>IFERROR(IF(175&gt;입력!B6*12,"",ROUND(E175*입력!B5/100/12,0)),0)</f>
        <v/>
      </c>
      <c r="E176" s="9">
        <f>IFERROR(IF(175&gt;입력!B6*12,"",E175-C176),0)</f>
        <v/>
      </c>
    </row>
    <row r="177">
      <c r="A177" s="8" t="n">
        <v>176</v>
      </c>
      <c r="B177" s="9">
        <f>IFERROR(IF(176&gt;입력!B6*12,"",IF(입력!B7="원리금균등",ROUND(-PMT(입력!B5/100/12,입력!B6*12,입력!B4),0),ROUND(입력!B4/(입력!B6*12)+E177*입력!B5/100/12,0))),0)</f>
        <v/>
      </c>
      <c r="C177" s="9">
        <f>IFERROR(IF(176&gt;입력!B6*12,"",B177-D177),0)</f>
        <v/>
      </c>
      <c r="D177" s="9">
        <f>IFERROR(IF(176&gt;입력!B6*12,"",ROUND(E176*입력!B5/100/12,0)),0)</f>
        <v/>
      </c>
      <c r="E177" s="9">
        <f>IFERROR(IF(176&gt;입력!B6*12,"",E176-C177),0)</f>
        <v/>
      </c>
    </row>
    <row r="178">
      <c r="A178" s="8" t="n">
        <v>177</v>
      </c>
      <c r="B178" s="9">
        <f>IFERROR(IF(177&gt;입력!B6*12,"",IF(입력!B7="원리금균등",ROUND(-PMT(입력!B5/100/12,입력!B6*12,입력!B4),0),ROUND(입력!B4/(입력!B6*12)+E178*입력!B5/100/12,0))),0)</f>
        <v/>
      </c>
      <c r="C178" s="9">
        <f>IFERROR(IF(177&gt;입력!B6*12,"",B178-D178),0)</f>
        <v/>
      </c>
      <c r="D178" s="9">
        <f>IFERROR(IF(177&gt;입력!B6*12,"",ROUND(E177*입력!B5/100/12,0)),0)</f>
        <v/>
      </c>
      <c r="E178" s="9">
        <f>IFERROR(IF(177&gt;입력!B6*12,"",E177-C178),0)</f>
        <v/>
      </c>
    </row>
    <row r="179">
      <c r="A179" s="8" t="n">
        <v>178</v>
      </c>
      <c r="B179" s="9">
        <f>IFERROR(IF(178&gt;입력!B6*12,"",IF(입력!B7="원리금균등",ROUND(-PMT(입력!B5/100/12,입력!B6*12,입력!B4),0),ROUND(입력!B4/(입력!B6*12)+E179*입력!B5/100/12,0))),0)</f>
        <v/>
      </c>
      <c r="C179" s="9">
        <f>IFERROR(IF(178&gt;입력!B6*12,"",B179-D179),0)</f>
        <v/>
      </c>
      <c r="D179" s="9">
        <f>IFERROR(IF(178&gt;입력!B6*12,"",ROUND(E178*입력!B5/100/12,0)),0)</f>
        <v/>
      </c>
      <c r="E179" s="9">
        <f>IFERROR(IF(178&gt;입력!B6*12,"",E178-C179),0)</f>
        <v/>
      </c>
    </row>
    <row r="180">
      <c r="A180" s="8" t="n">
        <v>179</v>
      </c>
      <c r="B180" s="9">
        <f>IFERROR(IF(179&gt;입력!B6*12,"",IF(입력!B7="원리금균등",ROUND(-PMT(입력!B5/100/12,입력!B6*12,입력!B4),0),ROUND(입력!B4/(입력!B6*12)+E180*입력!B5/100/12,0))),0)</f>
        <v/>
      </c>
      <c r="C180" s="9">
        <f>IFERROR(IF(179&gt;입력!B6*12,"",B180-D180),0)</f>
        <v/>
      </c>
      <c r="D180" s="9">
        <f>IFERROR(IF(179&gt;입력!B6*12,"",ROUND(E179*입력!B5/100/12,0)),0)</f>
        <v/>
      </c>
      <c r="E180" s="9">
        <f>IFERROR(IF(179&gt;입력!B6*12,"",E179-C180),0)</f>
        <v/>
      </c>
    </row>
    <row r="181">
      <c r="A181" s="8" t="n">
        <v>180</v>
      </c>
      <c r="B181" s="9">
        <f>IFERROR(IF(180&gt;입력!B6*12,"",IF(입력!B7="원리금균등",ROUND(-PMT(입력!B5/100/12,입력!B6*12,입력!B4),0),ROUND(입력!B4/(입력!B6*12)+E181*입력!B5/100/12,0))),0)</f>
        <v/>
      </c>
      <c r="C181" s="9">
        <f>IFERROR(IF(180&gt;입력!B6*12,"",B181-D181),0)</f>
        <v/>
      </c>
      <c r="D181" s="9">
        <f>IFERROR(IF(180&gt;입력!B6*12,"",ROUND(E180*입력!B5/100/12,0)),0)</f>
        <v/>
      </c>
      <c r="E181" s="9">
        <f>IFERROR(IF(180&gt;입력!B6*12,"",E180-C181),0)</f>
        <v/>
      </c>
    </row>
    <row r="182">
      <c r="A182" s="8" t="n">
        <v>181</v>
      </c>
      <c r="B182" s="9">
        <f>IFERROR(IF(181&gt;입력!B6*12,"",IF(입력!B7="원리금균등",ROUND(-PMT(입력!B5/100/12,입력!B6*12,입력!B4),0),ROUND(입력!B4/(입력!B6*12)+E182*입력!B5/100/12,0))),0)</f>
        <v/>
      </c>
      <c r="C182" s="9">
        <f>IFERROR(IF(181&gt;입력!B6*12,"",B182-D182),0)</f>
        <v/>
      </c>
      <c r="D182" s="9">
        <f>IFERROR(IF(181&gt;입력!B6*12,"",ROUND(E181*입력!B5/100/12,0)),0)</f>
        <v/>
      </c>
      <c r="E182" s="9">
        <f>IFERROR(IF(181&gt;입력!B6*12,"",E181-C182),0)</f>
        <v/>
      </c>
    </row>
    <row r="183">
      <c r="A183" s="8" t="n">
        <v>182</v>
      </c>
      <c r="B183" s="9">
        <f>IFERROR(IF(182&gt;입력!B6*12,"",IF(입력!B7="원리금균등",ROUND(-PMT(입력!B5/100/12,입력!B6*12,입력!B4),0),ROUND(입력!B4/(입력!B6*12)+E183*입력!B5/100/12,0))),0)</f>
        <v/>
      </c>
      <c r="C183" s="9">
        <f>IFERROR(IF(182&gt;입력!B6*12,"",B183-D183),0)</f>
        <v/>
      </c>
      <c r="D183" s="9">
        <f>IFERROR(IF(182&gt;입력!B6*12,"",ROUND(E182*입력!B5/100/12,0)),0)</f>
        <v/>
      </c>
      <c r="E183" s="9">
        <f>IFERROR(IF(182&gt;입력!B6*12,"",E182-C183),0)</f>
        <v/>
      </c>
    </row>
    <row r="184">
      <c r="A184" s="8" t="n">
        <v>183</v>
      </c>
      <c r="B184" s="9">
        <f>IFERROR(IF(183&gt;입력!B6*12,"",IF(입력!B7="원리금균등",ROUND(-PMT(입력!B5/100/12,입력!B6*12,입력!B4),0),ROUND(입력!B4/(입력!B6*12)+E184*입력!B5/100/12,0))),0)</f>
        <v/>
      </c>
      <c r="C184" s="9">
        <f>IFERROR(IF(183&gt;입력!B6*12,"",B184-D184),0)</f>
        <v/>
      </c>
      <c r="D184" s="9">
        <f>IFERROR(IF(183&gt;입력!B6*12,"",ROUND(E183*입력!B5/100/12,0)),0)</f>
        <v/>
      </c>
      <c r="E184" s="9">
        <f>IFERROR(IF(183&gt;입력!B6*12,"",E183-C184),0)</f>
        <v/>
      </c>
    </row>
    <row r="185">
      <c r="A185" s="8" t="n">
        <v>184</v>
      </c>
      <c r="B185" s="9">
        <f>IFERROR(IF(184&gt;입력!B6*12,"",IF(입력!B7="원리금균등",ROUND(-PMT(입력!B5/100/12,입력!B6*12,입력!B4),0),ROUND(입력!B4/(입력!B6*12)+E185*입력!B5/100/12,0))),0)</f>
        <v/>
      </c>
      <c r="C185" s="9">
        <f>IFERROR(IF(184&gt;입력!B6*12,"",B185-D185),0)</f>
        <v/>
      </c>
      <c r="D185" s="9">
        <f>IFERROR(IF(184&gt;입력!B6*12,"",ROUND(E184*입력!B5/100/12,0)),0)</f>
        <v/>
      </c>
      <c r="E185" s="9">
        <f>IFERROR(IF(184&gt;입력!B6*12,"",E184-C185),0)</f>
        <v/>
      </c>
    </row>
    <row r="186">
      <c r="A186" s="8" t="n">
        <v>185</v>
      </c>
      <c r="B186" s="9">
        <f>IFERROR(IF(185&gt;입력!B6*12,"",IF(입력!B7="원리금균등",ROUND(-PMT(입력!B5/100/12,입력!B6*12,입력!B4),0),ROUND(입력!B4/(입력!B6*12)+E186*입력!B5/100/12,0))),0)</f>
        <v/>
      </c>
      <c r="C186" s="9">
        <f>IFERROR(IF(185&gt;입력!B6*12,"",B186-D186),0)</f>
        <v/>
      </c>
      <c r="D186" s="9">
        <f>IFERROR(IF(185&gt;입력!B6*12,"",ROUND(E185*입력!B5/100/12,0)),0)</f>
        <v/>
      </c>
      <c r="E186" s="9">
        <f>IFERROR(IF(185&gt;입력!B6*12,"",E185-C186),0)</f>
        <v/>
      </c>
    </row>
    <row r="187">
      <c r="A187" s="8" t="n">
        <v>186</v>
      </c>
      <c r="B187" s="9">
        <f>IFERROR(IF(186&gt;입력!B6*12,"",IF(입력!B7="원리금균등",ROUND(-PMT(입력!B5/100/12,입력!B6*12,입력!B4),0),ROUND(입력!B4/(입력!B6*12)+E187*입력!B5/100/12,0))),0)</f>
        <v/>
      </c>
      <c r="C187" s="9">
        <f>IFERROR(IF(186&gt;입력!B6*12,"",B187-D187),0)</f>
        <v/>
      </c>
      <c r="D187" s="9">
        <f>IFERROR(IF(186&gt;입력!B6*12,"",ROUND(E186*입력!B5/100/12,0)),0)</f>
        <v/>
      </c>
      <c r="E187" s="9">
        <f>IFERROR(IF(186&gt;입력!B6*12,"",E186-C187),0)</f>
        <v/>
      </c>
    </row>
    <row r="188">
      <c r="A188" s="8" t="n">
        <v>187</v>
      </c>
      <c r="B188" s="9">
        <f>IFERROR(IF(187&gt;입력!B6*12,"",IF(입력!B7="원리금균등",ROUND(-PMT(입력!B5/100/12,입력!B6*12,입력!B4),0),ROUND(입력!B4/(입력!B6*12)+E188*입력!B5/100/12,0))),0)</f>
        <v/>
      </c>
      <c r="C188" s="9">
        <f>IFERROR(IF(187&gt;입력!B6*12,"",B188-D188),0)</f>
        <v/>
      </c>
      <c r="D188" s="9">
        <f>IFERROR(IF(187&gt;입력!B6*12,"",ROUND(E187*입력!B5/100/12,0)),0)</f>
        <v/>
      </c>
      <c r="E188" s="9">
        <f>IFERROR(IF(187&gt;입력!B6*12,"",E187-C188),0)</f>
        <v/>
      </c>
    </row>
    <row r="189">
      <c r="A189" s="8" t="n">
        <v>188</v>
      </c>
      <c r="B189" s="9">
        <f>IFERROR(IF(188&gt;입력!B6*12,"",IF(입력!B7="원리금균등",ROUND(-PMT(입력!B5/100/12,입력!B6*12,입력!B4),0),ROUND(입력!B4/(입력!B6*12)+E189*입력!B5/100/12,0))),0)</f>
        <v/>
      </c>
      <c r="C189" s="9">
        <f>IFERROR(IF(188&gt;입력!B6*12,"",B189-D189),0)</f>
        <v/>
      </c>
      <c r="D189" s="9">
        <f>IFERROR(IF(188&gt;입력!B6*12,"",ROUND(E188*입력!B5/100/12,0)),0)</f>
        <v/>
      </c>
      <c r="E189" s="9">
        <f>IFERROR(IF(188&gt;입력!B6*12,"",E188-C189),0)</f>
        <v/>
      </c>
    </row>
    <row r="190">
      <c r="A190" s="8" t="n">
        <v>189</v>
      </c>
      <c r="B190" s="9">
        <f>IFERROR(IF(189&gt;입력!B6*12,"",IF(입력!B7="원리금균등",ROUND(-PMT(입력!B5/100/12,입력!B6*12,입력!B4),0),ROUND(입력!B4/(입력!B6*12)+E190*입력!B5/100/12,0))),0)</f>
        <v/>
      </c>
      <c r="C190" s="9">
        <f>IFERROR(IF(189&gt;입력!B6*12,"",B190-D190),0)</f>
        <v/>
      </c>
      <c r="D190" s="9">
        <f>IFERROR(IF(189&gt;입력!B6*12,"",ROUND(E189*입력!B5/100/12,0)),0)</f>
        <v/>
      </c>
      <c r="E190" s="9">
        <f>IFERROR(IF(189&gt;입력!B6*12,"",E189-C190),0)</f>
        <v/>
      </c>
    </row>
    <row r="191">
      <c r="A191" s="8" t="n">
        <v>190</v>
      </c>
      <c r="B191" s="9">
        <f>IFERROR(IF(190&gt;입력!B6*12,"",IF(입력!B7="원리금균등",ROUND(-PMT(입력!B5/100/12,입력!B6*12,입력!B4),0),ROUND(입력!B4/(입력!B6*12)+E191*입력!B5/100/12,0))),0)</f>
        <v/>
      </c>
      <c r="C191" s="9">
        <f>IFERROR(IF(190&gt;입력!B6*12,"",B191-D191),0)</f>
        <v/>
      </c>
      <c r="D191" s="9">
        <f>IFERROR(IF(190&gt;입력!B6*12,"",ROUND(E190*입력!B5/100/12,0)),0)</f>
        <v/>
      </c>
      <c r="E191" s="9">
        <f>IFERROR(IF(190&gt;입력!B6*12,"",E190-C191),0)</f>
        <v/>
      </c>
    </row>
    <row r="192">
      <c r="A192" s="8" t="n">
        <v>191</v>
      </c>
      <c r="B192" s="9">
        <f>IFERROR(IF(191&gt;입력!B6*12,"",IF(입력!B7="원리금균등",ROUND(-PMT(입력!B5/100/12,입력!B6*12,입력!B4),0),ROUND(입력!B4/(입력!B6*12)+E192*입력!B5/100/12,0))),0)</f>
        <v/>
      </c>
      <c r="C192" s="9">
        <f>IFERROR(IF(191&gt;입력!B6*12,"",B192-D192),0)</f>
        <v/>
      </c>
      <c r="D192" s="9">
        <f>IFERROR(IF(191&gt;입력!B6*12,"",ROUND(E191*입력!B5/100/12,0)),0)</f>
        <v/>
      </c>
      <c r="E192" s="9">
        <f>IFERROR(IF(191&gt;입력!B6*12,"",E191-C192),0)</f>
        <v/>
      </c>
    </row>
    <row r="193">
      <c r="A193" s="8" t="n">
        <v>192</v>
      </c>
      <c r="B193" s="9">
        <f>IFERROR(IF(192&gt;입력!B6*12,"",IF(입력!B7="원리금균등",ROUND(-PMT(입력!B5/100/12,입력!B6*12,입력!B4),0),ROUND(입력!B4/(입력!B6*12)+E193*입력!B5/100/12,0))),0)</f>
        <v/>
      </c>
      <c r="C193" s="9">
        <f>IFERROR(IF(192&gt;입력!B6*12,"",B193-D193),0)</f>
        <v/>
      </c>
      <c r="D193" s="9">
        <f>IFERROR(IF(192&gt;입력!B6*12,"",ROUND(E192*입력!B5/100/12,0)),0)</f>
        <v/>
      </c>
      <c r="E193" s="9">
        <f>IFERROR(IF(192&gt;입력!B6*12,"",E192-C193),0)</f>
        <v/>
      </c>
    </row>
    <row r="194">
      <c r="A194" s="8" t="n">
        <v>193</v>
      </c>
      <c r="B194" s="9">
        <f>IFERROR(IF(193&gt;입력!B6*12,"",IF(입력!B7="원리금균등",ROUND(-PMT(입력!B5/100/12,입력!B6*12,입력!B4),0),ROUND(입력!B4/(입력!B6*12)+E194*입력!B5/100/12,0))),0)</f>
        <v/>
      </c>
      <c r="C194" s="9">
        <f>IFERROR(IF(193&gt;입력!B6*12,"",B194-D194),0)</f>
        <v/>
      </c>
      <c r="D194" s="9">
        <f>IFERROR(IF(193&gt;입력!B6*12,"",ROUND(E193*입력!B5/100/12,0)),0)</f>
        <v/>
      </c>
      <c r="E194" s="9">
        <f>IFERROR(IF(193&gt;입력!B6*12,"",E193-C194),0)</f>
        <v/>
      </c>
    </row>
    <row r="195">
      <c r="A195" s="8" t="n">
        <v>194</v>
      </c>
      <c r="B195" s="9">
        <f>IFERROR(IF(194&gt;입력!B6*12,"",IF(입력!B7="원리금균등",ROUND(-PMT(입력!B5/100/12,입력!B6*12,입력!B4),0),ROUND(입력!B4/(입력!B6*12)+E195*입력!B5/100/12,0))),0)</f>
        <v/>
      </c>
      <c r="C195" s="9">
        <f>IFERROR(IF(194&gt;입력!B6*12,"",B195-D195),0)</f>
        <v/>
      </c>
      <c r="D195" s="9">
        <f>IFERROR(IF(194&gt;입력!B6*12,"",ROUND(E194*입력!B5/100/12,0)),0)</f>
        <v/>
      </c>
      <c r="E195" s="9">
        <f>IFERROR(IF(194&gt;입력!B6*12,"",E194-C195),0)</f>
        <v/>
      </c>
    </row>
    <row r="196">
      <c r="A196" s="8" t="n">
        <v>195</v>
      </c>
      <c r="B196" s="9">
        <f>IFERROR(IF(195&gt;입력!B6*12,"",IF(입력!B7="원리금균등",ROUND(-PMT(입력!B5/100/12,입력!B6*12,입력!B4),0),ROUND(입력!B4/(입력!B6*12)+E196*입력!B5/100/12,0))),0)</f>
        <v/>
      </c>
      <c r="C196" s="9">
        <f>IFERROR(IF(195&gt;입력!B6*12,"",B196-D196),0)</f>
        <v/>
      </c>
      <c r="D196" s="9">
        <f>IFERROR(IF(195&gt;입력!B6*12,"",ROUND(E195*입력!B5/100/12,0)),0)</f>
        <v/>
      </c>
      <c r="E196" s="9">
        <f>IFERROR(IF(195&gt;입력!B6*12,"",E195-C196),0)</f>
        <v/>
      </c>
    </row>
    <row r="197">
      <c r="A197" s="8" t="n">
        <v>196</v>
      </c>
      <c r="B197" s="9">
        <f>IFERROR(IF(196&gt;입력!B6*12,"",IF(입력!B7="원리금균등",ROUND(-PMT(입력!B5/100/12,입력!B6*12,입력!B4),0),ROUND(입력!B4/(입력!B6*12)+E197*입력!B5/100/12,0))),0)</f>
        <v/>
      </c>
      <c r="C197" s="9">
        <f>IFERROR(IF(196&gt;입력!B6*12,"",B197-D197),0)</f>
        <v/>
      </c>
      <c r="D197" s="9">
        <f>IFERROR(IF(196&gt;입력!B6*12,"",ROUND(E196*입력!B5/100/12,0)),0)</f>
        <v/>
      </c>
      <c r="E197" s="9">
        <f>IFERROR(IF(196&gt;입력!B6*12,"",E196-C197),0)</f>
        <v/>
      </c>
    </row>
    <row r="198">
      <c r="A198" s="8" t="n">
        <v>197</v>
      </c>
      <c r="B198" s="9">
        <f>IFERROR(IF(197&gt;입력!B6*12,"",IF(입력!B7="원리금균등",ROUND(-PMT(입력!B5/100/12,입력!B6*12,입력!B4),0),ROUND(입력!B4/(입력!B6*12)+E198*입력!B5/100/12,0))),0)</f>
        <v/>
      </c>
      <c r="C198" s="9">
        <f>IFERROR(IF(197&gt;입력!B6*12,"",B198-D198),0)</f>
        <v/>
      </c>
      <c r="D198" s="9">
        <f>IFERROR(IF(197&gt;입력!B6*12,"",ROUND(E197*입력!B5/100/12,0)),0)</f>
        <v/>
      </c>
      <c r="E198" s="9">
        <f>IFERROR(IF(197&gt;입력!B6*12,"",E197-C198),0)</f>
        <v/>
      </c>
    </row>
    <row r="199">
      <c r="A199" s="8" t="n">
        <v>198</v>
      </c>
      <c r="B199" s="9">
        <f>IFERROR(IF(198&gt;입력!B6*12,"",IF(입력!B7="원리금균등",ROUND(-PMT(입력!B5/100/12,입력!B6*12,입력!B4),0),ROUND(입력!B4/(입력!B6*12)+E199*입력!B5/100/12,0))),0)</f>
        <v/>
      </c>
      <c r="C199" s="9">
        <f>IFERROR(IF(198&gt;입력!B6*12,"",B199-D199),0)</f>
        <v/>
      </c>
      <c r="D199" s="9">
        <f>IFERROR(IF(198&gt;입력!B6*12,"",ROUND(E198*입력!B5/100/12,0)),0)</f>
        <v/>
      </c>
      <c r="E199" s="9">
        <f>IFERROR(IF(198&gt;입력!B6*12,"",E198-C199),0)</f>
        <v/>
      </c>
    </row>
    <row r="200">
      <c r="A200" s="8" t="n">
        <v>199</v>
      </c>
      <c r="B200" s="9">
        <f>IFERROR(IF(199&gt;입력!B6*12,"",IF(입력!B7="원리금균등",ROUND(-PMT(입력!B5/100/12,입력!B6*12,입력!B4),0),ROUND(입력!B4/(입력!B6*12)+E200*입력!B5/100/12,0))),0)</f>
        <v/>
      </c>
      <c r="C200" s="9">
        <f>IFERROR(IF(199&gt;입력!B6*12,"",B200-D200),0)</f>
        <v/>
      </c>
      <c r="D200" s="9">
        <f>IFERROR(IF(199&gt;입력!B6*12,"",ROUND(E199*입력!B5/100/12,0)),0)</f>
        <v/>
      </c>
      <c r="E200" s="9">
        <f>IFERROR(IF(199&gt;입력!B6*12,"",E199-C200),0)</f>
        <v/>
      </c>
    </row>
    <row r="201">
      <c r="A201" s="8" t="n">
        <v>200</v>
      </c>
      <c r="B201" s="9">
        <f>IFERROR(IF(200&gt;입력!B6*12,"",IF(입력!B7="원리금균등",ROUND(-PMT(입력!B5/100/12,입력!B6*12,입력!B4),0),ROUND(입력!B4/(입력!B6*12)+E201*입력!B5/100/12,0))),0)</f>
        <v/>
      </c>
      <c r="C201" s="9">
        <f>IFERROR(IF(200&gt;입력!B6*12,"",B201-D201),0)</f>
        <v/>
      </c>
      <c r="D201" s="9">
        <f>IFERROR(IF(200&gt;입력!B6*12,"",ROUND(E200*입력!B5/100/12,0)),0)</f>
        <v/>
      </c>
      <c r="E201" s="9">
        <f>IFERROR(IF(200&gt;입력!B6*12,"",E200-C201),0)</f>
        <v/>
      </c>
    </row>
    <row r="202">
      <c r="A202" s="8" t="n">
        <v>201</v>
      </c>
      <c r="B202" s="9">
        <f>IFERROR(IF(201&gt;입력!B6*12,"",IF(입력!B7="원리금균등",ROUND(-PMT(입력!B5/100/12,입력!B6*12,입력!B4),0),ROUND(입력!B4/(입력!B6*12)+E202*입력!B5/100/12,0))),0)</f>
        <v/>
      </c>
      <c r="C202" s="9">
        <f>IFERROR(IF(201&gt;입력!B6*12,"",B202-D202),0)</f>
        <v/>
      </c>
      <c r="D202" s="9">
        <f>IFERROR(IF(201&gt;입력!B6*12,"",ROUND(E201*입력!B5/100/12,0)),0)</f>
        <v/>
      </c>
      <c r="E202" s="9">
        <f>IFERROR(IF(201&gt;입력!B6*12,"",E201-C202),0)</f>
        <v/>
      </c>
    </row>
    <row r="203">
      <c r="A203" s="8" t="n">
        <v>202</v>
      </c>
      <c r="B203" s="9">
        <f>IFERROR(IF(202&gt;입력!B6*12,"",IF(입력!B7="원리금균등",ROUND(-PMT(입력!B5/100/12,입력!B6*12,입력!B4),0),ROUND(입력!B4/(입력!B6*12)+E203*입력!B5/100/12,0))),0)</f>
        <v/>
      </c>
      <c r="C203" s="9">
        <f>IFERROR(IF(202&gt;입력!B6*12,"",B203-D203),0)</f>
        <v/>
      </c>
      <c r="D203" s="9">
        <f>IFERROR(IF(202&gt;입력!B6*12,"",ROUND(E202*입력!B5/100/12,0)),0)</f>
        <v/>
      </c>
      <c r="E203" s="9">
        <f>IFERROR(IF(202&gt;입력!B6*12,"",E202-C203),0)</f>
        <v/>
      </c>
    </row>
    <row r="204">
      <c r="A204" s="8" t="n">
        <v>203</v>
      </c>
      <c r="B204" s="9">
        <f>IFERROR(IF(203&gt;입력!B6*12,"",IF(입력!B7="원리금균등",ROUND(-PMT(입력!B5/100/12,입력!B6*12,입력!B4),0),ROUND(입력!B4/(입력!B6*12)+E204*입력!B5/100/12,0))),0)</f>
        <v/>
      </c>
      <c r="C204" s="9">
        <f>IFERROR(IF(203&gt;입력!B6*12,"",B204-D204),0)</f>
        <v/>
      </c>
      <c r="D204" s="9">
        <f>IFERROR(IF(203&gt;입력!B6*12,"",ROUND(E203*입력!B5/100/12,0)),0)</f>
        <v/>
      </c>
      <c r="E204" s="9">
        <f>IFERROR(IF(203&gt;입력!B6*12,"",E203-C204),0)</f>
        <v/>
      </c>
    </row>
    <row r="205">
      <c r="A205" s="8" t="n">
        <v>204</v>
      </c>
      <c r="B205" s="9">
        <f>IFERROR(IF(204&gt;입력!B6*12,"",IF(입력!B7="원리금균등",ROUND(-PMT(입력!B5/100/12,입력!B6*12,입력!B4),0),ROUND(입력!B4/(입력!B6*12)+E205*입력!B5/100/12,0))),0)</f>
        <v/>
      </c>
      <c r="C205" s="9">
        <f>IFERROR(IF(204&gt;입력!B6*12,"",B205-D205),0)</f>
        <v/>
      </c>
      <c r="D205" s="9">
        <f>IFERROR(IF(204&gt;입력!B6*12,"",ROUND(E204*입력!B5/100/12,0)),0)</f>
        <v/>
      </c>
      <c r="E205" s="9">
        <f>IFERROR(IF(204&gt;입력!B6*12,"",E204-C205),0)</f>
        <v/>
      </c>
    </row>
    <row r="206">
      <c r="A206" s="8" t="n">
        <v>205</v>
      </c>
      <c r="B206" s="9">
        <f>IFERROR(IF(205&gt;입력!B6*12,"",IF(입력!B7="원리금균등",ROUND(-PMT(입력!B5/100/12,입력!B6*12,입력!B4),0),ROUND(입력!B4/(입력!B6*12)+E206*입력!B5/100/12,0))),0)</f>
        <v/>
      </c>
      <c r="C206" s="9">
        <f>IFERROR(IF(205&gt;입력!B6*12,"",B206-D206),0)</f>
        <v/>
      </c>
      <c r="D206" s="9">
        <f>IFERROR(IF(205&gt;입력!B6*12,"",ROUND(E205*입력!B5/100/12,0)),0)</f>
        <v/>
      </c>
      <c r="E206" s="9">
        <f>IFERROR(IF(205&gt;입력!B6*12,"",E205-C206),0)</f>
        <v/>
      </c>
    </row>
    <row r="207">
      <c r="A207" s="8" t="n">
        <v>206</v>
      </c>
      <c r="B207" s="9">
        <f>IFERROR(IF(206&gt;입력!B6*12,"",IF(입력!B7="원리금균등",ROUND(-PMT(입력!B5/100/12,입력!B6*12,입력!B4),0),ROUND(입력!B4/(입력!B6*12)+E207*입력!B5/100/12,0))),0)</f>
        <v/>
      </c>
      <c r="C207" s="9">
        <f>IFERROR(IF(206&gt;입력!B6*12,"",B207-D207),0)</f>
        <v/>
      </c>
      <c r="D207" s="9">
        <f>IFERROR(IF(206&gt;입력!B6*12,"",ROUND(E206*입력!B5/100/12,0)),0)</f>
        <v/>
      </c>
      <c r="E207" s="9">
        <f>IFERROR(IF(206&gt;입력!B6*12,"",E206-C207),0)</f>
        <v/>
      </c>
    </row>
    <row r="208">
      <c r="A208" s="8" t="n">
        <v>207</v>
      </c>
      <c r="B208" s="9">
        <f>IFERROR(IF(207&gt;입력!B6*12,"",IF(입력!B7="원리금균등",ROUND(-PMT(입력!B5/100/12,입력!B6*12,입력!B4),0),ROUND(입력!B4/(입력!B6*12)+E208*입력!B5/100/12,0))),0)</f>
        <v/>
      </c>
      <c r="C208" s="9">
        <f>IFERROR(IF(207&gt;입력!B6*12,"",B208-D208),0)</f>
        <v/>
      </c>
      <c r="D208" s="9">
        <f>IFERROR(IF(207&gt;입력!B6*12,"",ROUND(E207*입력!B5/100/12,0)),0)</f>
        <v/>
      </c>
      <c r="E208" s="9">
        <f>IFERROR(IF(207&gt;입력!B6*12,"",E207-C208),0)</f>
        <v/>
      </c>
    </row>
    <row r="209">
      <c r="A209" s="8" t="n">
        <v>208</v>
      </c>
      <c r="B209" s="9">
        <f>IFERROR(IF(208&gt;입력!B6*12,"",IF(입력!B7="원리금균등",ROUND(-PMT(입력!B5/100/12,입력!B6*12,입력!B4),0),ROUND(입력!B4/(입력!B6*12)+E209*입력!B5/100/12,0))),0)</f>
        <v/>
      </c>
      <c r="C209" s="9">
        <f>IFERROR(IF(208&gt;입력!B6*12,"",B209-D209),0)</f>
        <v/>
      </c>
      <c r="D209" s="9">
        <f>IFERROR(IF(208&gt;입력!B6*12,"",ROUND(E208*입력!B5/100/12,0)),0)</f>
        <v/>
      </c>
      <c r="E209" s="9">
        <f>IFERROR(IF(208&gt;입력!B6*12,"",E208-C209),0)</f>
        <v/>
      </c>
    </row>
    <row r="210">
      <c r="A210" s="8" t="n">
        <v>209</v>
      </c>
      <c r="B210" s="9">
        <f>IFERROR(IF(209&gt;입력!B6*12,"",IF(입력!B7="원리금균등",ROUND(-PMT(입력!B5/100/12,입력!B6*12,입력!B4),0),ROUND(입력!B4/(입력!B6*12)+E210*입력!B5/100/12,0))),0)</f>
        <v/>
      </c>
      <c r="C210" s="9">
        <f>IFERROR(IF(209&gt;입력!B6*12,"",B210-D210),0)</f>
        <v/>
      </c>
      <c r="D210" s="9">
        <f>IFERROR(IF(209&gt;입력!B6*12,"",ROUND(E209*입력!B5/100/12,0)),0)</f>
        <v/>
      </c>
      <c r="E210" s="9">
        <f>IFERROR(IF(209&gt;입력!B6*12,"",E209-C210),0)</f>
        <v/>
      </c>
    </row>
    <row r="211">
      <c r="A211" s="8" t="n">
        <v>210</v>
      </c>
      <c r="B211" s="9">
        <f>IFERROR(IF(210&gt;입력!B6*12,"",IF(입력!B7="원리금균등",ROUND(-PMT(입력!B5/100/12,입력!B6*12,입력!B4),0),ROUND(입력!B4/(입력!B6*12)+E211*입력!B5/100/12,0))),0)</f>
        <v/>
      </c>
      <c r="C211" s="9">
        <f>IFERROR(IF(210&gt;입력!B6*12,"",B211-D211),0)</f>
        <v/>
      </c>
      <c r="D211" s="9">
        <f>IFERROR(IF(210&gt;입력!B6*12,"",ROUND(E210*입력!B5/100/12,0)),0)</f>
        <v/>
      </c>
      <c r="E211" s="9">
        <f>IFERROR(IF(210&gt;입력!B6*12,"",E210-C211),0)</f>
        <v/>
      </c>
    </row>
    <row r="212">
      <c r="A212" s="8" t="n">
        <v>211</v>
      </c>
      <c r="B212" s="9">
        <f>IFERROR(IF(211&gt;입력!B6*12,"",IF(입력!B7="원리금균등",ROUND(-PMT(입력!B5/100/12,입력!B6*12,입력!B4),0),ROUND(입력!B4/(입력!B6*12)+E212*입력!B5/100/12,0))),0)</f>
        <v/>
      </c>
      <c r="C212" s="9">
        <f>IFERROR(IF(211&gt;입력!B6*12,"",B212-D212),0)</f>
        <v/>
      </c>
      <c r="D212" s="9">
        <f>IFERROR(IF(211&gt;입력!B6*12,"",ROUND(E211*입력!B5/100/12,0)),0)</f>
        <v/>
      </c>
      <c r="E212" s="9">
        <f>IFERROR(IF(211&gt;입력!B6*12,"",E211-C212),0)</f>
        <v/>
      </c>
    </row>
    <row r="213">
      <c r="A213" s="8" t="n">
        <v>212</v>
      </c>
      <c r="B213" s="9">
        <f>IFERROR(IF(212&gt;입력!B6*12,"",IF(입력!B7="원리금균등",ROUND(-PMT(입력!B5/100/12,입력!B6*12,입력!B4),0),ROUND(입력!B4/(입력!B6*12)+E213*입력!B5/100/12,0))),0)</f>
        <v/>
      </c>
      <c r="C213" s="9">
        <f>IFERROR(IF(212&gt;입력!B6*12,"",B213-D213),0)</f>
        <v/>
      </c>
      <c r="D213" s="9">
        <f>IFERROR(IF(212&gt;입력!B6*12,"",ROUND(E212*입력!B5/100/12,0)),0)</f>
        <v/>
      </c>
      <c r="E213" s="9">
        <f>IFERROR(IF(212&gt;입력!B6*12,"",E212-C213),0)</f>
        <v/>
      </c>
    </row>
    <row r="214">
      <c r="A214" s="8" t="n">
        <v>213</v>
      </c>
      <c r="B214" s="9">
        <f>IFERROR(IF(213&gt;입력!B6*12,"",IF(입력!B7="원리금균등",ROUND(-PMT(입력!B5/100/12,입력!B6*12,입력!B4),0),ROUND(입력!B4/(입력!B6*12)+E214*입력!B5/100/12,0))),0)</f>
        <v/>
      </c>
      <c r="C214" s="9">
        <f>IFERROR(IF(213&gt;입력!B6*12,"",B214-D214),0)</f>
        <v/>
      </c>
      <c r="D214" s="9">
        <f>IFERROR(IF(213&gt;입력!B6*12,"",ROUND(E213*입력!B5/100/12,0)),0)</f>
        <v/>
      </c>
      <c r="E214" s="9">
        <f>IFERROR(IF(213&gt;입력!B6*12,"",E213-C214),0)</f>
        <v/>
      </c>
    </row>
    <row r="215">
      <c r="A215" s="8" t="n">
        <v>214</v>
      </c>
      <c r="B215" s="9">
        <f>IFERROR(IF(214&gt;입력!B6*12,"",IF(입력!B7="원리금균등",ROUND(-PMT(입력!B5/100/12,입력!B6*12,입력!B4),0),ROUND(입력!B4/(입력!B6*12)+E215*입력!B5/100/12,0))),0)</f>
        <v/>
      </c>
      <c r="C215" s="9">
        <f>IFERROR(IF(214&gt;입력!B6*12,"",B215-D215),0)</f>
        <v/>
      </c>
      <c r="D215" s="9">
        <f>IFERROR(IF(214&gt;입력!B6*12,"",ROUND(E214*입력!B5/100/12,0)),0)</f>
        <v/>
      </c>
      <c r="E215" s="9">
        <f>IFERROR(IF(214&gt;입력!B6*12,"",E214-C215),0)</f>
        <v/>
      </c>
    </row>
    <row r="216">
      <c r="A216" s="8" t="n">
        <v>215</v>
      </c>
      <c r="B216" s="9">
        <f>IFERROR(IF(215&gt;입력!B6*12,"",IF(입력!B7="원리금균등",ROUND(-PMT(입력!B5/100/12,입력!B6*12,입력!B4),0),ROUND(입력!B4/(입력!B6*12)+E216*입력!B5/100/12,0))),0)</f>
        <v/>
      </c>
      <c r="C216" s="9">
        <f>IFERROR(IF(215&gt;입력!B6*12,"",B216-D216),0)</f>
        <v/>
      </c>
      <c r="D216" s="9">
        <f>IFERROR(IF(215&gt;입력!B6*12,"",ROUND(E215*입력!B5/100/12,0)),0)</f>
        <v/>
      </c>
      <c r="E216" s="9">
        <f>IFERROR(IF(215&gt;입력!B6*12,"",E215-C216),0)</f>
        <v/>
      </c>
    </row>
    <row r="217">
      <c r="A217" s="8" t="n">
        <v>216</v>
      </c>
      <c r="B217" s="9">
        <f>IFERROR(IF(216&gt;입력!B6*12,"",IF(입력!B7="원리금균등",ROUND(-PMT(입력!B5/100/12,입력!B6*12,입력!B4),0),ROUND(입력!B4/(입력!B6*12)+E217*입력!B5/100/12,0))),0)</f>
        <v/>
      </c>
      <c r="C217" s="9">
        <f>IFERROR(IF(216&gt;입력!B6*12,"",B217-D217),0)</f>
        <v/>
      </c>
      <c r="D217" s="9">
        <f>IFERROR(IF(216&gt;입력!B6*12,"",ROUND(E216*입력!B5/100/12,0)),0)</f>
        <v/>
      </c>
      <c r="E217" s="9">
        <f>IFERROR(IF(216&gt;입력!B6*12,"",E216-C217),0)</f>
        <v/>
      </c>
    </row>
    <row r="218">
      <c r="A218" s="8" t="n">
        <v>217</v>
      </c>
      <c r="B218" s="9">
        <f>IFERROR(IF(217&gt;입력!B6*12,"",IF(입력!B7="원리금균등",ROUND(-PMT(입력!B5/100/12,입력!B6*12,입력!B4),0),ROUND(입력!B4/(입력!B6*12)+E218*입력!B5/100/12,0))),0)</f>
        <v/>
      </c>
      <c r="C218" s="9">
        <f>IFERROR(IF(217&gt;입력!B6*12,"",B218-D218),0)</f>
        <v/>
      </c>
      <c r="D218" s="9">
        <f>IFERROR(IF(217&gt;입력!B6*12,"",ROUND(E217*입력!B5/100/12,0)),0)</f>
        <v/>
      </c>
      <c r="E218" s="9">
        <f>IFERROR(IF(217&gt;입력!B6*12,"",E217-C218),0)</f>
        <v/>
      </c>
    </row>
    <row r="219">
      <c r="A219" s="8" t="n">
        <v>218</v>
      </c>
      <c r="B219" s="9">
        <f>IFERROR(IF(218&gt;입력!B6*12,"",IF(입력!B7="원리금균등",ROUND(-PMT(입력!B5/100/12,입력!B6*12,입력!B4),0),ROUND(입력!B4/(입력!B6*12)+E219*입력!B5/100/12,0))),0)</f>
        <v/>
      </c>
      <c r="C219" s="9">
        <f>IFERROR(IF(218&gt;입력!B6*12,"",B219-D219),0)</f>
        <v/>
      </c>
      <c r="D219" s="9">
        <f>IFERROR(IF(218&gt;입력!B6*12,"",ROUND(E218*입력!B5/100/12,0)),0)</f>
        <v/>
      </c>
      <c r="E219" s="9">
        <f>IFERROR(IF(218&gt;입력!B6*12,"",E218-C219),0)</f>
        <v/>
      </c>
    </row>
    <row r="220">
      <c r="A220" s="8" t="n">
        <v>219</v>
      </c>
      <c r="B220" s="9">
        <f>IFERROR(IF(219&gt;입력!B6*12,"",IF(입력!B7="원리금균등",ROUND(-PMT(입력!B5/100/12,입력!B6*12,입력!B4),0),ROUND(입력!B4/(입력!B6*12)+E220*입력!B5/100/12,0))),0)</f>
        <v/>
      </c>
      <c r="C220" s="9">
        <f>IFERROR(IF(219&gt;입력!B6*12,"",B220-D220),0)</f>
        <v/>
      </c>
      <c r="D220" s="9">
        <f>IFERROR(IF(219&gt;입력!B6*12,"",ROUND(E219*입력!B5/100/12,0)),0)</f>
        <v/>
      </c>
      <c r="E220" s="9">
        <f>IFERROR(IF(219&gt;입력!B6*12,"",E219-C220),0)</f>
        <v/>
      </c>
    </row>
    <row r="221">
      <c r="A221" s="8" t="n">
        <v>220</v>
      </c>
      <c r="B221" s="9">
        <f>IFERROR(IF(220&gt;입력!B6*12,"",IF(입력!B7="원리금균등",ROUND(-PMT(입력!B5/100/12,입력!B6*12,입력!B4),0),ROUND(입력!B4/(입력!B6*12)+E221*입력!B5/100/12,0))),0)</f>
        <v/>
      </c>
      <c r="C221" s="9">
        <f>IFERROR(IF(220&gt;입력!B6*12,"",B221-D221),0)</f>
        <v/>
      </c>
      <c r="D221" s="9">
        <f>IFERROR(IF(220&gt;입력!B6*12,"",ROUND(E220*입력!B5/100/12,0)),0)</f>
        <v/>
      </c>
      <c r="E221" s="9">
        <f>IFERROR(IF(220&gt;입력!B6*12,"",E220-C221),0)</f>
        <v/>
      </c>
    </row>
    <row r="222">
      <c r="A222" s="8" t="n">
        <v>221</v>
      </c>
      <c r="B222" s="9">
        <f>IFERROR(IF(221&gt;입력!B6*12,"",IF(입력!B7="원리금균등",ROUND(-PMT(입력!B5/100/12,입력!B6*12,입력!B4),0),ROUND(입력!B4/(입력!B6*12)+E222*입력!B5/100/12,0))),0)</f>
        <v/>
      </c>
      <c r="C222" s="9">
        <f>IFERROR(IF(221&gt;입력!B6*12,"",B222-D222),0)</f>
        <v/>
      </c>
      <c r="D222" s="9">
        <f>IFERROR(IF(221&gt;입력!B6*12,"",ROUND(E221*입력!B5/100/12,0)),0)</f>
        <v/>
      </c>
      <c r="E222" s="9">
        <f>IFERROR(IF(221&gt;입력!B6*12,"",E221-C222),0)</f>
        <v/>
      </c>
    </row>
    <row r="223">
      <c r="A223" s="8" t="n">
        <v>222</v>
      </c>
      <c r="B223" s="9">
        <f>IFERROR(IF(222&gt;입력!B6*12,"",IF(입력!B7="원리금균등",ROUND(-PMT(입력!B5/100/12,입력!B6*12,입력!B4),0),ROUND(입력!B4/(입력!B6*12)+E223*입력!B5/100/12,0))),0)</f>
        <v/>
      </c>
      <c r="C223" s="9">
        <f>IFERROR(IF(222&gt;입력!B6*12,"",B223-D223),0)</f>
        <v/>
      </c>
      <c r="D223" s="9">
        <f>IFERROR(IF(222&gt;입력!B6*12,"",ROUND(E222*입력!B5/100/12,0)),0)</f>
        <v/>
      </c>
      <c r="E223" s="9">
        <f>IFERROR(IF(222&gt;입력!B6*12,"",E222-C223),0)</f>
        <v/>
      </c>
    </row>
    <row r="224">
      <c r="A224" s="8" t="n">
        <v>223</v>
      </c>
      <c r="B224" s="9">
        <f>IFERROR(IF(223&gt;입력!B6*12,"",IF(입력!B7="원리금균등",ROUND(-PMT(입력!B5/100/12,입력!B6*12,입력!B4),0),ROUND(입력!B4/(입력!B6*12)+E224*입력!B5/100/12,0))),0)</f>
        <v/>
      </c>
      <c r="C224" s="9">
        <f>IFERROR(IF(223&gt;입력!B6*12,"",B224-D224),0)</f>
        <v/>
      </c>
      <c r="D224" s="9">
        <f>IFERROR(IF(223&gt;입력!B6*12,"",ROUND(E223*입력!B5/100/12,0)),0)</f>
        <v/>
      </c>
      <c r="E224" s="9">
        <f>IFERROR(IF(223&gt;입력!B6*12,"",E223-C224),0)</f>
        <v/>
      </c>
    </row>
    <row r="225">
      <c r="A225" s="8" t="n">
        <v>224</v>
      </c>
      <c r="B225" s="9">
        <f>IFERROR(IF(224&gt;입력!B6*12,"",IF(입력!B7="원리금균등",ROUND(-PMT(입력!B5/100/12,입력!B6*12,입력!B4),0),ROUND(입력!B4/(입력!B6*12)+E225*입력!B5/100/12,0))),0)</f>
        <v/>
      </c>
      <c r="C225" s="9">
        <f>IFERROR(IF(224&gt;입력!B6*12,"",B225-D225),0)</f>
        <v/>
      </c>
      <c r="D225" s="9">
        <f>IFERROR(IF(224&gt;입력!B6*12,"",ROUND(E224*입력!B5/100/12,0)),0)</f>
        <v/>
      </c>
      <c r="E225" s="9">
        <f>IFERROR(IF(224&gt;입력!B6*12,"",E224-C225),0)</f>
        <v/>
      </c>
    </row>
    <row r="226">
      <c r="A226" s="8" t="n">
        <v>225</v>
      </c>
      <c r="B226" s="9">
        <f>IFERROR(IF(225&gt;입력!B6*12,"",IF(입력!B7="원리금균등",ROUND(-PMT(입력!B5/100/12,입력!B6*12,입력!B4),0),ROUND(입력!B4/(입력!B6*12)+E226*입력!B5/100/12,0))),0)</f>
        <v/>
      </c>
      <c r="C226" s="9">
        <f>IFERROR(IF(225&gt;입력!B6*12,"",B226-D226),0)</f>
        <v/>
      </c>
      <c r="D226" s="9">
        <f>IFERROR(IF(225&gt;입력!B6*12,"",ROUND(E225*입력!B5/100/12,0)),0)</f>
        <v/>
      </c>
      <c r="E226" s="9">
        <f>IFERROR(IF(225&gt;입력!B6*12,"",E225-C226),0)</f>
        <v/>
      </c>
    </row>
    <row r="227">
      <c r="A227" s="8" t="n">
        <v>226</v>
      </c>
      <c r="B227" s="9">
        <f>IFERROR(IF(226&gt;입력!B6*12,"",IF(입력!B7="원리금균등",ROUND(-PMT(입력!B5/100/12,입력!B6*12,입력!B4),0),ROUND(입력!B4/(입력!B6*12)+E227*입력!B5/100/12,0))),0)</f>
        <v/>
      </c>
      <c r="C227" s="9">
        <f>IFERROR(IF(226&gt;입력!B6*12,"",B227-D227),0)</f>
        <v/>
      </c>
      <c r="D227" s="9">
        <f>IFERROR(IF(226&gt;입력!B6*12,"",ROUND(E226*입력!B5/100/12,0)),0)</f>
        <v/>
      </c>
      <c r="E227" s="9">
        <f>IFERROR(IF(226&gt;입력!B6*12,"",E226-C227),0)</f>
        <v/>
      </c>
    </row>
    <row r="228">
      <c r="A228" s="8" t="n">
        <v>227</v>
      </c>
      <c r="B228" s="9">
        <f>IFERROR(IF(227&gt;입력!B6*12,"",IF(입력!B7="원리금균등",ROUND(-PMT(입력!B5/100/12,입력!B6*12,입력!B4),0),ROUND(입력!B4/(입력!B6*12)+E228*입력!B5/100/12,0))),0)</f>
        <v/>
      </c>
      <c r="C228" s="9">
        <f>IFERROR(IF(227&gt;입력!B6*12,"",B228-D228),0)</f>
        <v/>
      </c>
      <c r="D228" s="9">
        <f>IFERROR(IF(227&gt;입력!B6*12,"",ROUND(E227*입력!B5/100/12,0)),0)</f>
        <v/>
      </c>
      <c r="E228" s="9">
        <f>IFERROR(IF(227&gt;입력!B6*12,"",E227-C228),0)</f>
        <v/>
      </c>
    </row>
    <row r="229">
      <c r="A229" s="8" t="n">
        <v>228</v>
      </c>
      <c r="B229" s="9">
        <f>IFERROR(IF(228&gt;입력!B6*12,"",IF(입력!B7="원리금균등",ROUND(-PMT(입력!B5/100/12,입력!B6*12,입력!B4),0),ROUND(입력!B4/(입력!B6*12)+E229*입력!B5/100/12,0))),0)</f>
        <v/>
      </c>
      <c r="C229" s="9">
        <f>IFERROR(IF(228&gt;입력!B6*12,"",B229-D229),0)</f>
        <v/>
      </c>
      <c r="D229" s="9">
        <f>IFERROR(IF(228&gt;입력!B6*12,"",ROUND(E228*입력!B5/100/12,0)),0)</f>
        <v/>
      </c>
      <c r="E229" s="9">
        <f>IFERROR(IF(228&gt;입력!B6*12,"",E228-C229),0)</f>
        <v/>
      </c>
    </row>
    <row r="230">
      <c r="A230" s="8" t="n">
        <v>229</v>
      </c>
      <c r="B230" s="9">
        <f>IFERROR(IF(229&gt;입력!B6*12,"",IF(입력!B7="원리금균등",ROUND(-PMT(입력!B5/100/12,입력!B6*12,입력!B4),0),ROUND(입력!B4/(입력!B6*12)+E230*입력!B5/100/12,0))),0)</f>
        <v/>
      </c>
      <c r="C230" s="9">
        <f>IFERROR(IF(229&gt;입력!B6*12,"",B230-D230),0)</f>
        <v/>
      </c>
      <c r="D230" s="9">
        <f>IFERROR(IF(229&gt;입력!B6*12,"",ROUND(E229*입력!B5/100/12,0)),0)</f>
        <v/>
      </c>
      <c r="E230" s="9">
        <f>IFERROR(IF(229&gt;입력!B6*12,"",E229-C230),0)</f>
        <v/>
      </c>
    </row>
    <row r="231">
      <c r="A231" s="8" t="n">
        <v>230</v>
      </c>
      <c r="B231" s="9">
        <f>IFERROR(IF(230&gt;입력!B6*12,"",IF(입력!B7="원리금균등",ROUND(-PMT(입력!B5/100/12,입력!B6*12,입력!B4),0),ROUND(입력!B4/(입력!B6*12)+E231*입력!B5/100/12,0))),0)</f>
        <v/>
      </c>
      <c r="C231" s="9">
        <f>IFERROR(IF(230&gt;입력!B6*12,"",B231-D231),0)</f>
        <v/>
      </c>
      <c r="D231" s="9">
        <f>IFERROR(IF(230&gt;입력!B6*12,"",ROUND(E230*입력!B5/100/12,0)),0)</f>
        <v/>
      </c>
      <c r="E231" s="9">
        <f>IFERROR(IF(230&gt;입력!B6*12,"",E230-C231),0)</f>
        <v/>
      </c>
    </row>
    <row r="232">
      <c r="A232" s="8" t="n">
        <v>231</v>
      </c>
      <c r="B232" s="9">
        <f>IFERROR(IF(231&gt;입력!B6*12,"",IF(입력!B7="원리금균등",ROUND(-PMT(입력!B5/100/12,입력!B6*12,입력!B4),0),ROUND(입력!B4/(입력!B6*12)+E232*입력!B5/100/12,0))),0)</f>
        <v/>
      </c>
      <c r="C232" s="9">
        <f>IFERROR(IF(231&gt;입력!B6*12,"",B232-D232),0)</f>
        <v/>
      </c>
      <c r="D232" s="9">
        <f>IFERROR(IF(231&gt;입력!B6*12,"",ROUND(E231*입력!B5/100/12,0)),0)</f>
        <v/>
      </c>
      <c r="E232" s="9">
        <f>IFERROR(IF(231&gt;입력!B6*12,"",E231-C232),0)</f>
        <v/>
      </c>
    </row>
    <row r="233">
      <c r="A233" s="8" t="n">
        <v>232</v>
      </c>
      <c r="B233" s="9">
        <f>IFERROR(IF(232&gt;입력!B6*12,"",IF(입력!B7="원리금균등",ROUND(-PMT(입력!B5/100/12,입력!B6*12,입력!B4),0),ROUND(입력!B4/(입력!B6*12)+E233*입력!B5/100/12,0))),0)</f>
        <v/>
      </c>
      <c r="C233" s="9">
        <f>IFERROR(IF(232&gt;입력!B6*12,"",B233-D233),0)</f>
        <v/>
      </c>
      <c r="D233" s="9">
        <f>IFERROR(IF(232&gt;입력!B6*12,"",ROUND(E232*입력!B5/100/12,0)),0)</f>
        <v/>
      </c>
      <c r="E233" s="9">
        <f>IFERROR(IF(232&gt;입력!B6*12,"",E232-C233),0)</f>
        <v/>
      </c>
    </row>
    <row r="234">
      <c r="A234" s="8" t="n">
        <v>233</v>
      </c>
      <c r="B234" s="9">
        <f>IFERROR(IF(233&gt;입력!B6*12,"",IF(입력!B7="원리금균등",ROUND(-PMT(입력!B5/100/12,입력!B6*12,입력!B4),0),ROUND(입력!B4/(입력!B6*12)+E234*입력!B5/100/12,0))),0)</f>
        <v/>
      </c>
      <c r="C234" s="9">
        <f>IFERROR(IF(233&gt;입력!B6*12,"",B234-D234),0)</f>
        <v/>
      </c>
      <c r="D234" s="9">
        <f>IFERROR(IF(233&gt;입력!B6*12,"",ROUND(E233*입력!B5/100/12,0)),0)</f>
        <v/>
      </c>
      <c r="E234" s="9">
        <f>IFERROR(IF(233&gt;입력!B6*12,"",E233-C234),0)</f>
        <v/>
      </c>
    </row>
    <row r="235">
      <c r="A235" s="8" t="n">
        <v>234</v>
      </c>
      <c r="B235" s="9">
        <f>IFERROR(IF(234&gt;입력!B6*12,"",IF(입력!B7="원리금균등",ROUND(-PMT(입력!B5/100/12,입력!B6*12,입력!B4),0),ROUND(입력!B4/(입력!B6*12)+E235*입력!B5/100/12,0))),0)</f>
        <v/>
      </c>
      <c r="C235" s="9">
        <f>IFERROR(IF(234&gt;입력!B6*12,"",B235-D235),0)</f>
        <v/>
      </c>
      <c r="D235" s="9">
        <f>IFERROR(IF(234&gt;입력!B6*12,"",ROUND(E234*입력!B5/100/12,0)),0)</f>
        <v/>
      </c>
      <c r="E235" s="9">
        <f>IFERROR(IF(234&gt;입력!B6*12,"",E234-C235),0)</f>
        <v/>
      </c>
    </row>
    <row r="236">
      <c r="A236" s="8" t="n">
        <v>235</v>
      </c>
      <c r="B236" s="9">
        <f>IFERROR(IF(235&gt;입력!B6*12,"",IF(입력!B7="원리금균등",ROUND(-PMT(입력!B5/100/12,입력!B6*12,입력!B4),0),ROUND(입력!B4/(입력!B6*12)+E236*입력!B5/100/12,0))),0)</f>
        <v/>
      </c>
      <c r="C236" s="9">
        <f>IFERROR(IF(235&gt;입력!B6*12,"",B236-D236),0)</f>
        <v/>
      </c>
      <c r="D236" s="9">
        <f>IFERROR(IF(235&gt;입력!B6*12,"",ROUND(E235*입력!B5/100/12,0)),0)</f>
        <v/>
      </c>
      <c r="E236" s="9">
        <f>IFERROR(IF(235&gt;입력!B6*12,"",E235-C236),0)</f>
        <v/>
      </c>
    </row>
    <row r="237">
      <c r="A237" s="8" t="n">
        <v>236</v>
      </c>
      <c r="B237" s="9">
        <f>IFERROR(IF(236&gt;입력!B6*12,"",IF(입력!B7="원리금균등",ROUND(-PMT(입력!B5/100/12,입력!B6*12,입력!B4),0),ROUND(입력!B4/(입력!B6*12)+E237*입력!B5/100/12,0))),0)</f>
        <v/>
      </c>
      <c r="C237" s="9">
        <f>IFERROR(IF(236&gt;입력!B6*12,"",B237-D237),0)</f>
        <v/>
      </c>
      <c r="D237" s="9">
        <f>IFERROR(IF(236&gt;입력!B6*12,"",ROUND(E236*입력!B5/100/12,0)),0)</f>
        <v/>
      </c>
      <c r="E237" s="9">
        <f>IFERROR(IF(236&gt;입력!B6*12,"",E236-C237),0)</f>
        <v/>
      </c>
    </row>
    <row r="238">
      <c r="A238" s="8" t="n">
        <v>237</v>
      </c>
      <c r="B238" s="9">
        <f>IFERROR(IF(237&gt;입력!B6*12,"",IF(입력!B7="원리금균등",ROUND(-PMT(입력!B5/100/12,입력!B6*12,입력!B4),0),ROUND(입력!B4/(입력!B6*12)+E238*입력!B5/100/12,0))),0)</f>
        <v/>
      </c>
      <c r="C238" s="9">
        <f>IFERROR(IF(237&gt;입력!B6*12,"",B238-D238),0)</f>
        <v/>
      </c>
      <c r="D238" s="9">
        <f>IFERROR(IF(237&gt;입력!B6*12,"",ROUND(E237*입력!B5/100/12,0)),0)</f>
        <v/>
      </c>
      <c r="E238" s="9">
        <f>IFERROR(IF(237&gt;입력!B6*12,"",E237-C238),0)</f>
        <v/>
      </c>
    </row>
    <row r="239">
      <c r="A239" s="8" t="n">
        <v>238</v>
      </c>
      <c r="B239" s="9">
        <f>IFERROR(IF(238&gt;입력!B6*12,"",IF(입력!B7="원리금균등",ROUND(-PMT(입력!B5/100/12,입력!B6*12,입력!B4),0),ROUND(입력!B4/(입력!B6*12)+E239*입력!B5/100/12,0))),0)</f>
        <v/>
      </c>
      <c r="C239" s="9">
        <f>IFERROR(IF(238&gt;입력!B6*12,"",B239-D239),0)</f>
        <v/>
      </c>
      <c r="D239" s="9">
        <f>IFERROR(IF(238&gt;입력!B6*12,"",ROUND(E238*입력!B5/100/12,0)),0)</f>
        <v/>
      </c>
      <c r="E239" s="9">
        <f>IFERROR(IF(238&gt;입력!B6*12,"",E238-C239),0)</f>
        <v/>
      </c>
    </row>
    <row r="240">
      <c r="A240" s="8" t="n">
        <v>239</v>
      </c>
      <c r="B240" s="9">
        <f>IFERROR(IF(239&gt;입력!B6*12,"",IF(입력!B7="원리금균등",ROUND(-PMT(입력!B5/100/12,입력!B6*12,입력!B4),0),ROUND(입력!B4/(입력!B6*12)+E240*입력!B5/100/12,0))),0)</f>
        <v/>
      </c>
      <c r="C240" s="9">
        <f>IFERROR(IF(239&gt;입력!B6*12,"",B240-D240),0)</f>
        <v/>
      </c>
      <c r="D240" s="9">
        <f>IFERROR(IF(239&gt;입력!B6*12,"",ROUND(E239*입력!B5/100/12,0)),0)</f>
        <v/>
      </c>
      <c r="E240" s="9">
        <f>IFERROR(IF(239&gt;입력!B6*12,"",E239-C240),0)</f>
        <v/>
      </c>
    </row>
    <row r="241">
      <c r="A241" s="8" t="n">
        <v>240</v>
      </c>
      <c r="B241" s="9">
        <f>IFERROR(IF(240&gt;입력!B6*12,"",IF(입력!B7="원리금균등",ROUND(-PMT(입력!B5/100/12,입력!B6*12,입력!B4),0),ROUND(입력!B4/(입력!B6*12)+E241*입력!B5/100/12,0))),0)</f>
        <v/>
      </c>
      <c r="C241" s="9">
        <f>IFERROR(IF(240&gt;입력!B6*12,"",B241-D241),0)</f>
        <v/>
      </c>
      <c r="D241" s="9">
        <f>IFERROR(IF(240&gt;입력!B6*12,"",ROUND(E240*입력!B5/100/12,0)),0)</f>
        <v/>
      </c>
      <c r="E241" s="9">
        <f>IFERROR(IF(240&gt;입력!B6*12,"",E240-C241),0)</f>
        <v/>
      </c>
    </row>
    <row r="242">
      <c r="A242" s="8" t="n">
        <v>241</v>
      </c>
      <c r="B242" s="9">
        <f>IFERROR(IF(241&gt;입력!B6*12,"",IF(입력!B7="원리금균등",ROUND(-PMT(입력!B5/100/12,입력!B6*12,입력!B4),0),ROUND(입력!B4/(입력!B6*12)+E242*입력!B5/100/12,0))),0)</f>
        <v/>
      </c>
      <c r="C242" s="9">
        <f>IFERROR(IF(241&gt;입력!B6*12,"",B242-D242),0)</f>
        <v/>
      </c>
      <c r="D242" s="9">
        <f>IFERROR(IF(241&gt;입력!B6*12,"",ROUND(E241*입력!B5/100/12,0)),0)</f>
        <v/>
      </c>
      <c r="E242" s="9">
        <f>IFERROR(IF(241&gt;입력!B6*12,"",E241-C242),0)</f>
        <v/>
      </c>
    </row>
    <row r="243">
      <c r="A243" s="8" t="n">
        <v>242</v>
      </c>
      <c r="B243" s="9">
        <f>IFERROR(IF(242&gt;입력!B6*12,"",IF(입력!B7="원리금균등",ROUND(-PMT(입력!B5/100/12,입력!B6*12,입력!B4),0),ROUND(입력!B4/(입력!B6*12)+E243*입력!B5/100/12,0))),0)</f>
        <v/>
      </c>
      <c r="C243" s="9">
        <f>IFERROR(IF(242&gt;입력!B6*12,"",B243-D243),0)</f>
        <v/>
      </c>
      <c r="D243" s="9">
        <f>IFERROR(IF(242&gt;입력!B6*12,"",ROUND(E242*입력!B5/100/12,0)),0)</f>
        <v/>
      </c>
      <c r="E243" s="9">
        <f>IFERROR(IF(242&gt;입력!B6*12,"",E242-C243),0)</f>
        <v/>
      </c>
    </row>
    <row r="244">
      <c r="A244" s="8" t="n">
        <v>243</v>
      </c>
      <c r="B244" s="9">
        <f>IFERROR(IF(243&gt;입력!B6*12,"",IF(입력!B7="원리금균등",ROUND(-PMT(입력!B5/100/12,입력!B6*12,입력!B4),0),ROUND(입력!B4/(입력!B6*12)+E244*입력!B5/100/12,0))),0)</f>
        <v/>
      </c>
      <c r="C244" s="9">
        <f>IFERROR(IF(243&gt;입력!B6*12,"",B244-D244),0)</f>
        <v/>
      </c>
      <c r="D244" s="9">
        <f>IFERROR(IF(243&gt;입력!B6*12,"",ROUND(E243*입력!B5/100/12,0)),0)</f>
        <v/>
      </c>
      <c r="E244" s="9">
        <f>IFERROR(IF(243&gt;입력!B6*12,"",E243-C244),0)</f>
        <v/>
      </c>
    </row>
    <row r="245">
      <c r="A245" s="8" t="n">
        <v>244</v>
      </c>
      <c r="B245" s="9">
        <f>IFERROR(IF(244&gt;입력!B6*12,"",IF(입력!B7="원리금균등",ROUND(-PMT(입력!B5/100/12,입력!B6*12,입력!B4),0),ROUND(입력!B4/(입력!B6*12)+E245*입력!B5/100/12,0))),0)</f>
        <v/>
      </c>
      <c r="C245" s="9">
        <f>IFERROR(IF(244&gt;입력!B6*12,"",B245-D245),0)</f>
        <v/>
      </c>
      <c r="D245" s="9">
        <f>IFERROR(IF(244&gt;입력!B6*12,"",ROUND(E244*입력!B5/100/12,0)),0)</f>
        <v/>
      </c>
      <c r="E245" s="9">
        <f>IFERROR(IF(244&gt;입력!B6*12,"",E244-C245),0)</f>
        <v/>
      </c>
    </row>
    <row r="246">
      <c r="A246" s="8" t="n">
        <v>245</v>
      </c>
      <c r="B246" s="9">
        <f>IFERROR(IF(245&gt;입력!B6*12,"",IF(입력!B7="원리금균등",ROUND(-PMT(입력!B5/100/12,입력!B6*12,입력!B4),0),ROUND(입력!B4/(입력!B6*12)+E246*입력!B5/100/12,0))),0)</f>
        <v/>
      </c>
      <c r="C246" s="9">
        <f>IFERROR(IF(245&gt;입력!B6*12,"",B246-D246),0)</f>
        <v/>
      </c>
      <c r="D246" s="9">
        <f>IFERROR(IF(245&gt;입력!B6*12,"",ROUND(E245*입력!B5/100/12,0)),0)</f>
        <v/>
      </c>
      <c r="E246" s="9">
        <f>IFERROR(IF(245&gt;입력!B6*12,"",E245-C246),0)</f>
        <v/>
      </c>
    </row>
    <row r="247">
      <c r="A247" s="8" t="n">
        <v>246</v>
      </c>
      <c r="B247" s="9">
        <f>IFERROR(IF(246&gt;입력!B6*12,"",IF(입력!B7="원리금균등",ROUND(-PMT(입력!B5/100/12,입력!B6*12,입력!B4),0),ROUND(입력!B4/(입력!B6*12)+E247*입력!B5/100/12,0))),0)</f>
        <v/>
      </c>
      <c r="C247" s="9">
        <f>IFERROR(IF(246&gt;입력!B6*12,"",B247-D247),0)</f>
        <v/>
      </c>
      <c r="D247" s="9">
        <f>IFERROR(IF(246&gt;입력!B6*12,"",ROUND(E246*입력!B5/100/12,0)),0)</f>
        <v/>
      </c>
      <c r="E247" s="9">
        <f>IFERROR(IF(246&gt;입력!B6*12,"",E246-C247),0)</f>
        <v/>
      </c>
    </row>
    <row r="248">
      <c r="A248" s="8" t="n">
        <v>247</v>
      </c>
      <c r="B248" s="9">
        <f>IFERROR(IF(247&gt;입력!B6*12,"",IF(입력!B7="원리금균등",ROUND(-PMT(입력!B5/100/12,입력!B6*12,입력!B4),0),ROUND(입력!B4/(입력!B6*12)+E248*입력!B5/100/12,0))),0)</f>
        <v/>
      </c>
      <c r="C248" s="9">
        <f>IFERROR(IF(247&gt;입력!B6*12,"",B248-D248),0)</f>
        <v/>
      </c>
      <c r="D248" s="9">
        <f>IFERROR(IF(247&gt;입력!B6*12,"",ROUND(E247*입력!B5/100/12,0)),0)</f>
        <v/>
      </c>
      <c r="E248" s="9">
        <f>IFERROR(IF(247&gt;입력!B6*12,"",E247-C248),0)</f>
        <v/>
      </c>
    </row>
    <row r="249">
      <c r="A249" s="8" t="n">
        <v>248</v>
      </c>
      <c r="B249" s="9">
        <f>IFERROR(IF(248&gt;입력!B6*12,"",IF(입력!B7="원리금균등",ROUND(-PMT(입력!B5/100/12,입력!B6*12,입력!B4),0),ROUND(입력!B4/(입력!B6*12)+E249*입력!B5/100/12,0))),0)</f>
        <v/>
      </c>
      <c r="C249" s="9">
        <f>IFERROR(IF(248&gt;입력!B6*12,"",B249-D249),0)</f>
        <v/>
      </c>
      <c r="D249" s="9">
        <f>IFERROR(IF(248&gt;입력!B6*12,"",ROUND(E248*입력!B5/100/12,0)),0)</f>
        <v/>
      </c>
      <c r="E249" s="9">
        <f>IFERROR(IF(248&gt;입력!B6*12,"",E248-C249),0)</f>
        <v/>
      </c>
    </row>
    <row r="250">
      <c r="A250" s="8" t="n">
        <v>249</v>
      </c>
      <c r="B250" s="9">
        <f>IFERROR(IF(249&gt;입력!B6*12,"",IF(입력!B7="원리금균등",ROUND(-PMT(입력!B5/100/12,입력!B6*12,입력!B4),0),ROUND(입력!B4/(입력!B6*12)+E250*입력!B5/100/12,0))),0)</f>
        <v/>
      </c>
      <c r="C250" s="9">
        <f>IFERROR(IF(249&gt;입력!B6*12,"",B250-D250),0)</f>
        <v/>
      </c>
      <c r="D250" s="9">
        <f>IFERROR(IF(249&gt;입력!B6*12,"",ROUND(E249*입력!B5/100/12,0)),0)</f>
        <v/>
      </c>
      <c r="E250" s="9">
        <f>IFERROR(IF(249&gt;입력!B6*12,"",E249-C250),0)</f>
        <v/>
      </c>
    </row>
    <row r="251">
      <c r="A251" s="8" t="n">
        <v>250</v>
      </c>
      <c r="B251" s="9">
        <f>IFERROR(IF(250&gt;입력!B6*12,"",IF(입력!B7="원리금균등",ROUND(-PMT(입력!B5/100/12,입력!B6*12,입력!B4),0),ROUND(입력!B4/(입력!B6*12)+E251*입력!B5/100/12,0))),0)</f>
        <v/>
      </c>
      <c r="C251" s="9">
        <f>IFERROR(IF(250&gt;입력!B6*12,"",B251-D251),0)</f>
        <v/>
      </c>
      <c r="D251" s="9">
        <f>IFERROR(IF(250&gt;입력!B6*12,"",ROUND(E250*입력!B5/100/12,0)),0)</f>
        <v/>
      </c>
      <c r="E251" s="9">
        <f>IFERROR(IF(250&gt;입력!B6*12,"",E250-C251),0)</f>
        <v/>
      </c>
    </row>
    <row r="252">
      <c r="A252" s="8" t="n">
        <v>251</v>
      </c>
      <c r="B252" s="9">
        <f>IFERROR(IF(251&gt;입력!B6*12,"",IF(입력!B7="원리금균등",ROUND(-PMT(입력!B5/100/12,입력!B6*12,입력!B4),0),ROUND(입력!B4/(입력!B6*12)+E252*입력!B5/100/12,0))),0)</f>
        <v/>
      </c>
      <c r="C252" s="9">
        <f>IFERROR(IF(251&gt;입력!B6*12,"",B252-D252),0)</f>
        <v/>
      </c>
      <c r="D252" s="9">
        <f>IFERROR(IF(251&gt;입력!B6*12,"",ROUND(E251*입력!B5/100/12,0)),0)</f>
        <v/>
      </c>
      <c r="E252" s="9">
        <f>IFERROR(IF(251&gt;입력!B6*12,"",E251-C252),0)</f>
        <v/>
      </c>
    </row>
    <row r="253">
      <c r="A253" s="8" t="n">
        <v>252</v>
      </c>
      <c r="B253" s="9">
        <f>IFERROR(IF(252&gt;입력!B6*12,"",IF(입력!B7="원리금균등",ROUND(-PMT(입력!B5/100/12,입력!B6*12,입력!B4),0),ROUND(입력!B4/(입력!B6*12)+E253*입력!B5/100/12,0))),0)</f>
        <v/>
      </c>
      <c r="C253" s="9">
        <f>IFERROR(IF(252&gt;입력!B6*12,"",B253-D253),0)</f>
        <v/>
      </c>
      <c r="D253" s="9">
        <f>IFERROR(IF(252&gt;입력!B6*12,"",ROUND(E252*입력!B5/100/12,0)),0)</f>
        <v/>
      </c>
      <c r="E253" s="9">
        <f>IFERROR(IF(252&gt;입력!B6*12,"",E252-C253),0)</f>
        <v/>
      </c>
    </row>
    <row r="254">
      <c r="A254" s="8" t="n">
        <v>253</v>
      </c>
      <c r="B254" s="9">
        <f>IFERROR(IF(253&gt;입력!B6*12,"",IF(입력!B7="원리금균등",ROUND(-PMT(입력!B5/100/12,입력!B6*12,입력!B4),0),ROUND(입력!B4/(입력!B6*12)+E254*입력!B5/100/12,0))),0)</f>
        <v/>
      </c>
      <c r="C254" s="9">
        <f>IFERROR(IF(253&gt;입력!B6*12,"",B254-D254),0)</f>
        <v/>
      </c>
      <c r="D254" s="9">
        <f>IFERROR(IF(253&gt;입력!B6*12,"",ROUND(E253*입력!B5/100/12,0)),0)</f>
        <v/>
      </c>
      <c r="E254" s="9">
        <f>IFERROR(IF(253&gt;입력!B6*12,"",E253-C254),0)</f>
        <v/>
      </c>
    </row>
    <row r="255">
      <c r="A255" s="8" t="n">
        <v>254</v>
      </c>
      <c r="B255" s="9">
        <f>IFERROR(IF(254&gt;입력!B6*12,"",IF(입력!B7="원리금균등",ROUND(-PMT(입력!B5/100/12,입력!B6*12,입력!B4),0),ROUND(입력!B4/(입력!B6*12)+E255*입력!B5/100/12,0))),0)</f>
        <v/>
      </c>
      <c r="C255" s="9">
        <f>IFERROR(IF(254&gt;입력!B6*12,"",B255-D255),0)</f>
        <v/>
      </c>
      <c r="D255" s="9">
        <f>IFERROR(IF(254&gt;입력!B6*12,"",ROUND(E254*입력!B5/100/12,0)),0)</f>
        <v/>
      </c>
      <c r="E255" s="9">
        <f>IFERROR(IF(254&gt;입력!B6*12,"",E254-C255),0)</f>
        <v/>
      </c>
    </row>
    <row r="256">
      <c r="A256" s="8" t="n">
        <v>255</v>
      </c>
      <c r="B256" s="9">
        <f>IFERROR(IF(255&gt;입력!B6*12,"",IF(입력!B7="원리금균등",ROUND(-PMT(입력!B5/100/12,입력!B6*12,입력!B4),0),ROUND(입력!B4/(입력!B6*12)+E256*입력!B5/100/12,0))),0)</f>
        <v/>
      </c>
      <c r="C256" s="9">
        <f>IFERROR(IF(255&gt;입력!B6*12,"",B256-D256),0)</f>
        <v/>
      </c>
      <c r="D256" s="9">
        <f>IFERROR(IF(255&gt;입력!B6*12,"",ROUND(E255*입력!B5/100/12,0)),0)</f>
        <v/>
      </c>
      <c r="E256" s="9">
        <f>IFERROR(IF(255&gt;입력!B6*12,"",E255-C256),0)</f>
        <v/>
      </c>
    </row>
    <row r="257">
      <c r="A257" s="8" t="n">
        <v>256</v>
      </c>
      <c r="B257" s="9">
        <f>IFERROR(IF(256&gt;입력!B6*12,"",IF(입력!B7="원리금균등",ROUND(-PMT(입력!B5/100/12,입력!B6*12,입력!B4),0),ROUND(입력!B4/(입력!B6*12)+E257*입력!B5/100/12,0))),0)</f>
        <v/>
      </c>
      <c r="C257" s="9">
        <f>IFERROR(IF(256&gt;입력!B6*12,"",B257-D257),0)</f>
        <v/>
      </c>
      <c r="D257" s="9">
        <f>IFERROR(IF(256&gt;입력!B6*12,"",ROUND(E256*입력!B5/100/12,0)),0)</f>
        <v/>
      </c>
      <c r="E257" s="9">
        <f>IFERROR(IF(256&gt;입력!B6*12,"",E256-C257),0)</f>
        <v/>
      </c>
    </row>
    <row r="258">
      <c r="A258" s="8" t="n">
        <v>257</v>
      </c>
      <c r="B258" s="9">
        <f>IFERROR(IF(257&gt;입력!B6*12,"",IF(입력!B7="원리금균등",ROUND(-PMT(입력!B5/100/12,입력!B6*12,입력!B4),0),ROUND(입력!B4/(입력!B6*12)+E258*입력!B5/100/12,0))),0)</f>
        <v/>
      </c>
      <c r="C258" s="9">
        <f>IFERROR(IF(257&gt;입력!B6*12,"",B258-D258),0)</f>
        <v/>
      </c>
      <c r="D258" s="9">
        <f>IFERROR(IF(257&gt;입력!B6*12,"",ROUND(E257*입력!B5/100/12,0)),0)</f>
        <v/>
      </c>
      <c r="E258" s="9">
        <f>IFERROR(IF(257&gt;입력!B6*12,"",E257-C258),0)</f>
        <v/>
      </c>
    </row>
    <row r="259">
      <c r="A259" s="8" t="n">
        <v>258</v>
      </c>
      <c r="B259" s="9">
        <f>IFERROR(IF(258&gt;입력!B6*12,"",IF(입력!B7="원리금균등",ROUND(-PMT(입력!B5/100/12,입력!B6*12,입력!B4),0),ROUND(입력!B4/(입력!B6*12)+E259*입력!B5/100/12,0))),0)</f>
        <v/>
      </c>
      <c r="C259" s="9">
        <f>IFERROR(IF(258&gt;입력!B6*12,"",B259-D259),0)</f>
        <v/>
      </c>
      <c r="D259" s="9">
        <f>IFERROR(IF(258&gt;입력!B6*12,"",ROUND(E258*입력!B5/100/12,0)),0)</f>
        <v/>
      </c>
      <c r="E259" s="9">
        <f>IFERROR(IF(258&gt;입력!B6*12,"",E258-C259),0)</f>
        <v/>
      </c>
    </row>
    <row r="260">
      <c r="A260" s="8" t="n">
        <v>259</v>
      </c>
      <c r="B260" s="9">
        <f>IFERROR(IF(259&gt;입력!B6*12,"",IF(입력!B7="원리금균등",ROUND(-PMT(입력!B5/100/12,입력!B6*12,입력!B4),0),ROUND(입력!B4/(입력!B6*12)+E260*입력!B5/100/12,0))),0)</f>
        <v/>
      </c>
      <c r="C260" s="9">
        <f>IFERROR(IF(259&gt;입력!B6*12,"",B260-D260),0)</f>
        <v/>
      </c>
      <c r="D260" s="9">
        <f>IFERROR(IF(259&gt;입력!B6*12,"",ROUND(E259*입력!B5/100/12,0)),0)</f>
        <v/>
      </c>
      <c r="E260" s="9">
        <f>IFERROR(IF(259&gt;입력!B6*12,"",E259-C260),0)</f>
        <v/>
      </c>
    </row>
    <row r="261">
      <c r="A261" s="8" t="n">
        <v>260</v>
      </c>
      <c r="B261" s="9">
        <f>IFERROR(IF(260&gt;입력!B6*12,"",IF(입력!B7="원리금균등",ROUND(-PMT(입력!B5/100/12,입력!B6*12,입력!B4),0),ROUND(입력!B4/(입력!B6*12)+E261*입력!B5/100/12,0))),0)</f>
        <v/>
      </c>
      <c r="C261" s="9">
        <f>IFERROR(IF(260&gt;입력!B6*12,"",B261-D261),0)</f>
        <v/>
      </c>
      <c r="D261" s="9">
        <f>IFERROR(IF(260&gt;입력!B6*12,"",ROUND(E260*입력!B5/100/12,0)),0)</f>
        <v/>
      </c>
      <c r="E261" s="9">
        <f>IFERROR(IF(260&gt;입력!B6*12,"",E260-C261),0)</f>
        <v/>
      </c>
    </row>
    <row r="262">
      <c r="A262" s="8" t="n">
        <v>261</v>
      </c>
      <c r="B262" s="9">
        <f>IFERROR(IF(261&gt;입력!B6*12,"",IF(입력!B7="원리금균등",ROUND(-PMT(입력!B5/100/12,입력!B6*12,입력!B4),0),ROUND(입력!B4/(입력!B6*12)+E262*입력!B5/100/12,0))),0)</f>
        <v/>
      </c>
      <c r="C262" s="9">
        <f>IFERROR(IF(261&gt;입력!B6*12,"",B262-D262),0)</f>
        <v/>
      </c>
      <c r="D262" s="9">
        <f>IFERROR(IF(261&gt;입력!B6*12,"",ROUND(E261*입력!B5/100/12,0)),0)</f>
        <v/>
      </c>
      <c r="E262" s="9">
        <f>IFERROR(IF(261&gt;입력!B6*12,"",E261-C262),0)</f>
        <v/>
      </c>
    </row>
    <row r="263">
      <c r="A263" s="8" t="n">
        <v>262</v>
      </c>
      <c r="B263" s="9">
        <f>IFERROR(IF(262&gt;입력!B6*12,"",IF(입력!B7="원리금균등",ROUND(-PMT(입력!B5/100/12,입력!B6*12,입력!B4),0),ROUND(입력!B4/(입력!B6*12)+E263*입력!B5/100/12,0))),0)</f>
        <v/>
      </c>
      <c r="C263" s="9">
        <f>IFERROR(IF(262&gt;입력!B6*12,"",B263-D263),0)</f>
        <v/>
      </c>
      <c r="D263" s="9">
        <f>IFERROR(IF(262&gt;입력!B6*12,"",ROUND(E262*입력!B5/100/12,0)),0)</f>
        <v/>
      </c>
      <c r="E263" s="9">
        <f>IFERROR(IF(262&gt;입력!B6*12,"",E262-C263),0)</f>
        <v/>
      </c>
    </row>
    <row r="264">
      <c r="A264" s="8" t="n">
        <v>263</v>
      </c>
      <c r="B264" s="9">
        <f>IFERROR(IF(263&gt;입력!B6*12,"",IF(입력!B7="원리금균등",ROUND(-PMT(입력!B5/100/12,입력!B6*12,입력!B4),0),ROUND(입력!B4/(입력!B6*12)+E264*입력!B5/100/12,0))),0)</f>
        <v/>
      </c>
      <c r="C264" s="9">
        <f>IFERROR(IF(263&gt;입력!B6*12,"",B264-D264),0)</f>
        <v/>
      </c>
      <c r="D264" s="9">
        <f>IFERROR(IF(263&gt;입력!B6*12,"",ROUND(E263*입력!B5/100/12,0)),0)</f>
        <v/>
      </c>
      <c r="E264" s="9">
        <f>IFERROR(IF(263&gt;입력!B6*12,"",E263-C264),0)</f>
        <v/>
      </c>
    </row>
    <row r="265">
      <c r="A265" s="8" t="n">
        <v>264</v>
      </c>
      <c r="B265" s="9">
        <f>IFERROR(IF(264&gt;입력!B6*12,"",IF(입력!B7="원리금균등",ROUND(-PMT(입력!B5/100/12,입력!B6*12,입력!B4),0),ROUND(입력!B4/(입력!B6*12)+E265*입력!B5/100/12,0))),0)</f>
        <v/>
      </c>
      <c r="C265" s="9">
        <f>IFERROR(IF(264&gt;입력!B6*12,"",B265-D265),0)</f>
        <v/>
      </c>
      <c r="D265" s="9">
        <f>IFERROR(IF(264&gt;입력!B6*12,"",ROUND(E264*입력!B5/100/12,0)),0)</f>
        <v/>
      </c>
      <c r="E265" s="9">
        <f>IFERROR(IF(264&gt;입력!B6*12,"",E264-C265),0)</f>
        <v/>
      </c>
    </row>
    <row r="266">
      <c r="A266" s="8" t="n">
        <v>265</v>
      </c>
      <c r="B266" s="9">
        <f>IFERROR(IF(265&gt;입력!B6*12,"",IF(입력!B7="원리금균등",ROUND(-PMT(입력!B5/100/12,입력!B6*12,입력!B4),0),ROUND(입력!B4/(입력!B6*12)+E266*입력!B5/100/12,0))),0)</f>
        <v/>
      </c>
      <c r="C266" s="9">
        <f>IFERROR(IF(265&gt;입력!B6*12,"",B266-D266),0)</f>
        <v/>
      </c>
      <c r="D266" s="9">
        <f>IFERROR(IF(265&gt;입력!B6*12,"",ROUND(E265*입력!B5/100/12,0)),0)</f>
        <v/>
      </c>
      <c r="E266" s="9">
        <f>IFERROR(IF(265&gt;입력!B6*12,"",E265-C266),0)</f>
        <v/>
      </c>
    </row>
    <row r="267">
      <c r="A267" s="8" t="n">
        <v>266</v>
      </c>
      <c r="B267" s="9">
        <f>IFERROR(IF(266&gt;입력!B6*12,"",IF(입력!B7="원리금균등",ROUND(-PMT(입력!B5/100/12,입력!B6*12,입력!B4),0),ROUND(입력!B4/(입력!B6*12)+E267*입력!B5/100/12,0))),0)</f>
        <v/>
      </c>
      <c r="C267" s="9">
        <f>IFERROR(IF(266&gt;입력!B6*12,"",B267-D267),0)</f>
        <v/>
      </c>
      <c r="D267" s="9">
        <f>IFERROR(IF(266&gt;입력!B6*12,"",ROUND(E266*입력!B5/100/12,0)),0)</f>
        <v/>
      </c>
      <c r="E267" s="9">
        <f>IFERROR(IF(266&gt;입력!B6*12,"",E266-C267),0)</f>
        <v/>
      </c>
    </row>
    <row r="268">
      <c r="A268" s="8" t="n">
        <v>267</v>
      </c>
      <c r="B268" s="9">
        <f>IFERROR(IF(267&gt;입력!B6*12,"",IF(입력!B7="원리금균등",ROUND(-PMT(입력!B5/100/12,입력!B6*12,입력!B4),0),ROUND(입력!B4/(입력!B6*12)+E268*입력!B5/100/12,0))),0)</f>
        <v/>
      </c>
      <c r="C268" s="9">
        <f>IFERROR(IF(267&gt;입력!B6*12,"",B268-D268),0)</f>
        <v/>
      </c>
      <c r="D268" s="9">
        <f>IFERROR(IF(267&gt;입력!B6*12,"",ROUND(E267*입력!B5/100/12,0)),0)</f>
        <v/>
      </c>
      <c r="E268" s="9">
        <f>IFERROR(IF(267&gt;입력!B6*12,"",E267-C268),0)</f>
        <v/>
      </c>
    </row>
    <row r="269">
      <c r="A269" s="8" t="n">
        <v>268</v>
      </c>
      <c r="B269" s="9">
        <f>IFERROR(IF(268&gt;입력!B6*12,"",IF(입력!B7="원리금균등",ROUND(-PMT(입력!B5/100/12,입력!B6*12,입력!B4),0),ROUND(입력!B4/(입력!B6*12)+E269*입력!B5/100/12,0))),0)</f>
        <v/>
      </c>
      <c r="C269" s="9">
        <f>IFERROR(IF(268&gt;입력!B6*12,"",B269-D269),0)</f>
        <v/>
      </c>
      <c r="D269" s="9">
        <f>IFERROR(IF(268&gt;입력!B6*12,"",ROUND(E268*입력!B5/100/12,0)),0)</f>
        <v/>
      </c>
      <c r="E269" s="9">
        <f>IFERROR(IF(268&gt;입력!B6*12,"",E268-C269),0)</f>
        <v/>
      </c>
    </row>
    <row r="270">
      <c r="A270" s="8" t="n">
        <v>269</v>
      </c>
      <c r="B270" s="9">
        <f>IFERROR(IF(269&gt;입력!B6*12,"",IF(입력!B7="원리금균등",ROUND(-PMT(입력!B5/100/12,입력!B6*12,입력!B4),0),ROUND(입력!B4/(입력!B6*12)+E270*입력!B5/100/12,0))),0)</f>
        <v/>
      </c>
      <c r="C270" s="9">
        <f>IFERROR(IF(269&gt;입력!B6*12,"",B270-D270),0)</f>
        <v/>
      </c>
      <c r="D270" s="9">
        <f>IFERROR(IF(269&gt;입력!B6*12,"",ROUND(E269*입력!B5/100/12,0)),0)</f>
        <v/>
      </c>
      <c r="E270" s="9">
        <f>IFERROR(IF(269&gt;입력!B6*12,"",E269-C270),0)</f>
        <v/>
      </c>
    </row>
    <row r="271">
      <c r="A271" s="8" t="n">
        <v>270</v>
      </c>
      <c r="B271" s="9">
        <f>IFERROR(IF(270&gt;입력!B6*12,"",IF(입력!B7="원리금균등",ROUND(-PMT(입력!B5/100/12,입력!B6*12,입력!B4),0),ROUND(입력!B4/(입력!B6*12)+E271*입력!B5/100/12,0))),0)</f>
        <v/>
      </c>
      <c r="C271" s="9">
        <f>IFERROR(IF(270&gt;입력!B6*12,"",B271-D271),0)</f>
        <v/>
      </c>
      <c r="D271" s="9">
        <f>IFERROR(IF(270&gt;입력!B6*12,"",ROUND(E270*입력!B5/100/12,0)),0)</f>
        <v/>
      </c>
      <c r="E271" s="9">
        <f>IFERROR(IF(270&gt;입력!B6*12,"",E270-C271),0)</f>
        <v/>
      </c>
    </row>
    <row r="272">
      <c r="A272" s="8" t="n">
        <v>271</v>
      </c>
      <c r="B272" s="9">
        <f>IFERROR(IF(271&gt;입력!B6*12,"",IF(입력!B7="원리금균등",ROUND(-PMT(입력!B5/100/12,입력!B6*12,입력!B4),0),ROUND(입력!B4/(입력!B6*12)+E272*입력!B5/100/12,0))),0)</f>
        <v/>
      </c>
      <c r="C272" s="9">
        <f>IFERROR(IF(271&gt;입력!B6*12,"",B272-D272),0)</f>
        <v/>
      </c>
      <c r="D272" s="9">
        <f>IFERROR(IF(271&gt;입력!B6*12,"",ROUND(E271*입력!B5/100/12,0)),0)</f>
        <v/>
      </c>
      <c r="E272" s="9">
        <f>IFERROR(IF(271&gt;입력!B6*12,"",E271-C272),0)</f>
        <v/>
      </c>
    </row>
    <row r="273">
      <c r="A273" s="8" t="n">
        <v>272</v>
      </c>
      <c r="B273" s="9">
        <f>IFERROR(IF(272&gt;입력!B6*12,"",IF(입력!B7="원리금균등",ROUND(-PMT(입력!B5/100/12,입력!B6*12,입력!B4),0),ROUND(입력!B4/(입력!B6*12)+E273*입력!B5/100/12,0))),0)</f>
        <v/>
      </c>
      <c r="C273" s="9">
        <f>IFERROR(IF(272&gt;입력!B6*12,"",B273-D273),0)</f>
        <v/>
      </c>
      <c r="D273" s="9">
        <f>IFERROR(IF(272&gt;입력!B6*12,"",ROUND(E272*입력!B5/100/12,0)),0)</f>
        <v/>
      </c>
      <c r="E273" s="9">
        <f>IFERROR(IF(272&gt;입력!B6*12,"",E272-C273),0)</f>
        <v/>
      </c>
    </row>
    <row r="274">
      <c r="A274" s="8" t="n">
        <v>273</v>
      </c>
      <c r="B274" s="9">
        <f>IFERROR(IF(273&gt;입력!B6*12,"",IF(입력!B7="원리금균등",ROUND(-PMT(입력!B5/100/12,입력!B6*12,입력!B4),0),ROUND(입력!B4/(입력!B6*12)+E274*입력!B5/100/12,0))),0)</f>
        <v/>
      </c>
      <c r="C274" s="9">
        <f>IFERROR(IF(273&gt;입력!B6*12,"",B274-D274),0)</f>
        <v/>
      </c>
      <c r="D274" s="9">
        <f>IFERROR(IF(273&gt;입력!B6*12,"",ROUND(E273*입력!B5/100/12,0)),0)</f>
        <v/>
      </c>
      <c r="E274" s="9">
        <f>IFERROR(IF(273&gt;입력!B6*12,"",E273-C274),0)</f>
        <v/>
      </c>
    </row>
    <row r="275">
      <c r="A275" s="8" t="n">
        <v>274</v>
      </c>
      <c r="B275" s="9">
        <f>IFERROR(IF(274&gt;입력!B6*12,"",IF(입력!B7="원리금균등",ROUND(-PMT(입력!B5/100/12,입력!B6*12,입력!B4),0),ROUND(입력!B4/(입력!B6*12)+E275*입력!B5/100/12,0))),0)</f>
        <v/>
      </c>
      <c r="C275" s="9">
        <f>IFERROR(IF(274&gt;입력!B6*12,"",B275-D275),0)</f>
        <v/>
      </c>
      <c r="D275" s="9">
        <f>IFERROR(IF(274&gt;입력!B6*12,"",ROUND(E274*입력!B5/100/12,0)),0)</f>
        <v/>
      </c>
      <c r="E275" s="9">
        <f>IFERROR(IF(274&gt;입력!B6*12,"",E274-C275),0)</f>
        <v/>
      </c>
    </row>
    <row r="276">
      <c r="A276" s="8" t="n">
        <v>275</v>
      </c>
      <c r="B276" s="9">
        <f>IFERROR(IF(275&gt;입력!B6*12,"",IF(입력!B7="원리금균등",ROUND(-PMT(입력!B5/100/12,입력!B6*12,입력!B4),0),ROUND(입력!B4/(입력!B6*12)+E276*입력!B5/100/12,0))),0)</f>
        <v/>
      </c>
      <c r="C276" s="9">
        <f>IFERROR(IF(275&gt;입력!B6*12,"",B276-D276),0)</f>
        <v/>
      </c>
      <c r="D276" s="9">
        <f>IFERROR(IF(275&gt;입력!B6*12,"",ROUND(E275*입력!B5/100/12,0)),0)</f>
        <v/>
      </c>
      <c r="E276" s="9">
        <f>IFERROR(IF(275&gt;입력!B6*12,"",E275-C276),0)</f>
        <v/>
      </c>
    </row>
    <row r="277">
      <c r="A277" s="8" t="n">
        <v>276</v>
      </c>
      <c r="B277" s="9">
        <f>IFERROR(IF(276&gt;입력!B6*12,"",IF(입력!B7="원리금균등",ROUND(-PMT(입력!B5/100/12,입력!B6*12,입력!B4),0),ROUND(입력!B4/(입력!B6*12)+E277*입력!B5/100/12,0))),0)</f>
        <v/>
      </c>
      <c r="C277" s="9">
        <f>IFERROR(IF(276&gt;입력!B6*12,"",B277-D277),0)</f>
        <v/>
      </c>
      <c r="D277" s="9">
        <f>IFERROR(IF(276&gt;입력!B6*12,"",ROUND(E276*입력!B5/100/12,0)),0)</f>
        <v/>
      </c>
      <c r="E277" s="9">
        <f>IFERROR(IF(276&gt;입력!B6*12,"",E276-C277),0)</f>
        <v/>
      </c>
    </row>
    <row r="278">
      <c r="A278" s="8" t="n">
        <v>277</v>
      </c>
      <c r="B278" s="9">
        <f>IFERROR(IF(277&gt;입력!B6*12,"",IF(입력!B7="원리금균등",ROUND(-PMT(입력!B5/100/12,입력!B6*12,입력!B4),0),ROUND(입력!B4/(입력!B6*12)+E278*입력!B5/100/12,0))),0)</f>
        <v/>
      </c>
      <c r="C278" s="9">
        <f>IFERROR(IF(277&gt;입력!B6*12,"",B278-D278),0)</f>
        <v/>
      </c>
      <c r="D278" s="9">
        <f>IFERROR(IF(277&gt;입력!B6*12,"",ROUND(E277*입력!B5/100/12,0)),0)</f>
        <v/>
      </c>
      <c r="E278" s="9">
        <f>IFERROR(IF(277&gt;입력!B6*12,"",E277-C278),0)</f>
        <v/>
      </c>
    </row>
    <row r="279">
      <c r="A279" s="8" t="n">
        <v>278</v>
      </c>
      <c r="B279" s="9">
        <f>IFERROR(IF(278&gt;입력!B6*12,"",IF(입력!B7="원리금균등",ROUND(-PMT(입력!B5/100/12,입력!B6*12,입력!B4),0),ROUND(입력!B4/(입력!B6*12)+E279*입력!B5/100/12,0))),0)</f>
        <v/>
      </c>
      <c r="C279" s="9">
        <f>IFERROR(IF(278&gt;입력!B6*12,"",B279-D279),0)</f>
        <v/>
      </c>
      <c r="D279" s="9">
        <f>IFERROR(IF(278&gt;입력!B6*12,"",ROUND(E278*입력!B5/100/12,0)),0)</f>
        <v/>
      </c>
      <c r="E279" s="9">
        <f>IFERROR(IF(278&gt;입력!B6*12,"",E278-C279),0)</f>
        <v/>
      </c>
    </row>
    <row r="280">
      <c r="A280" s="8" t="n">
        <v>279</v>
      </c>
      <c r="B280" s="9">
        <f>IFERROR(IF(279&gt;입력!B6*12,"",IF(입력!B7="원리금균등",ROUND(-PMT(입력!B5/100/12,입력!B6*12,입력!B4),0),ROUND(입력!B4/(입력!B6*12)+E280*입력!B5/100/12,0))),0)</f>
        <v/>
      </c>
      <c r="C280" s="9">
        <f>IFERROR(IF(279&gt;입력!B6*12,"",B280-D280),0)</f>
        <v/>
      </c>
      <c r="D280" s="9">
        <f>IFERROR(IF(279&gt;입력!B6*12,"",ROUND(E279*입력!B5/100/12,0)),0)</f>
        <v/>
      </c>
      <c r="E280" s="9">
        <f>IFERROR(IF(279&gt;입력!B6*12,"",E279-C280),0)</f>
        <v/>
      </c>
    </row>
    <row r="281">
      <c r="A281" s="8" t="n">
        <v>280</v>
      </c>
      <c r="B281" s="9">
        <f>IFERROR(IF(280&gt;입력!B6*12,"",IF(입력!B7="원리금균등",ROUND(-PMT(입력!B5/100/12,입력!B6*12,입력!B4),0),ROUND(입력!B4/(입력!B6*12)+E281*입력!B5/100/12,0))),0)</f>
        <v/>
      </c>
      <c r="C281" s="9">
        <f>IFERROR(IF(280&gt;입력!B6*12,"",B281-D281),0)</f>
        <v/>
      </c>
      <c r="D281" s="9">
        <f>IFERROR(IF(280&gt;입력!B6*12,"",ROUND(E280*입력!B5/100/12,0)),0)</f>
        <v/>
      </c>
      <c r="E281" s="9">
        <f>IFERROR(IF(280&gt;입력!B6*12,"",E280-C281),0)</f>
        <v/>
      </c>
    </row>
    <row r="282">
      <c r="A282" s="8" t="n">
        <v>281</v>
      </c>
      <c r="B282" s="9">
        <f>IFERROR(IF(281&gt;입력!B6*12,"",IF(입력!B7="원리금균등",ROUND(-PMT(입력!B5/100/12,입력!B6*12,입력!B4),0),ROUND(입력!B4/(입력!B6*12)+E282*입력!B5/100/12,0))),0)</f>
        <v/>
      </c>
      <c r="C282" s="9">
        <f>IFERROR(IF(281&gt;입력!B6*12,"",B282-D282),0)</f>
        <v/>
      </c>
      <c r="D282" s="9">
        <f>IFERROR(IF(281&gt;입력!B6*12,"",ROUND(E281*입력!B5/100/12,0)),0)</f>
        <v/>
      </c>
      <c r="E282" s="9">
        <f>IFERROR(IF(281&gt;입력!B6*12,"",E281-C282),0)</f>
        <v/>
      </c>
    </row>
    <row r="283">
      <c r="A283" s="8" t="n">
        <v>282</v>
      </c>
      <c r="B283" s="9">
        <f>IFERROR(IF(282&gt;입력!B6*12,"",IF(입력!B7="원리금균등",ROUND(-PMT(입력!B5/100/12,입력!B6*12,입력!B4),0),ROUND(입력!B4/(입력!B6*12)+E283*입력!B5/100/12,0))),0)</f>
        <v/>
      </c>
      <c r="C283" s="9">
        <f>IFERROR(IF(282&gt;입력!B6*12,"",B283-D283),0)</f>
        <v/>
      </c>
      <c r="D283" s="9">
        <f>IFERROR(IF(282&gt;입력!B6*12,"",ROUND(E282*입력!B5/100/12,0)),0)</f>
        <v/>
      </c>
      <c r="E283" s="9">
        <f>IFERROR(IF(282&gt;입력!B6*12,"",E282-C283),0)</f>
        <v/>
      </c>
    </row>
    <row r="284">
      <c r="A284" s="8" t="n">
        <v>283</v>
      </c>
      <c r="B284" s="9">
        <f>IFERROR(IF(283&gt;입력!B6*12,"",IF(입력!B7="원리금균등",ROUND(-PMT(입력!B5/100/12,입력!B6*12,입력!B4),0),ROUND(입력!B4/(입력!B6*12)+E284*입력!B5/100/12,0))),0)</f>
        <v/>
      </c>
      <c r="C284" s="9">
        <f>IFERROR(IF(283&gt;입력!B6*12,"",B284-D284),0)</f>
        <v/>
      </c>
      <c r="D284" s="9">
        <f>IFERROR(IF(283&gt;입력!B6*12,"",ROUND(E283*입력!B5/100/12,0)),0)</f>
        <v/>
      </c>
      <c r="E284" s="9">
        <f>IFERROR(IF(283&gt;입력!B6*12,"",E283-C284),0)</f>
        <v/>
      </c>
    </row>
    <row r="285">
      <c r="A285" s="8" t="n">
        <v>284</v>
      </c>
      <c r="B285" s="9">
        <f>IFERROR(IF(284&gt;입력!B6*12,"",IF(입력!B7="원리금균등",ROUND(-PMT(입력!B5/100/12,입력!B6*12,입력!B4),0),ROUND(입력!B4/(입력!B6*12)+E285*입력!B5/100/12,0))),0)</f>
        <v/>
      </c>
      <c r="C285" s="9">
        <f>IFERROR(IF(284&gt;입력!B6*12,"",B285-D285),0)</f>
        <v/>
      </c>
      <c r="D285" s="9">
        <f>IFERROR(IF(284&gt;입력!B6*12,"",ROUND(E284*입력!B5/100/12,0)),0)</f>
        <v/>
      </c>
      <c r="E285" s="9">
        <f>IFERROR(IF(284&gt;입력!B6*12,"",E284-C285),0)</f>
        <v/>
      </c>
    </row>
    <row r="286">
      <c r="A286" s="8" t="n">
        <v>285</v>
      </c>
      <c r="B286" s="9">
        <f>IFERROR(IF(285&gt;입력!B6*12,"",IF(입력!B7="원리금균등",ROUND(-PMT(입력!B5/100/12,입력!B6*12,입력!B4),0),ROUND(입력!B4/(입력!B6*12)+E286*입력!B5/100/12,0))),0)</f>
        <v/>
      </c>
      <c r="C286" s="9">
        <f>IFERROR(IF(285&gt;입력!B6*12,"",B286-D286),0)</f>
        <v/>
      </c>
      <c r="D286" s="9">
        <f>IFERROR(IF(285&gt;입력!B6*12,"",ROUND(E285*입력!B5/100/12,0)),0)</f>
        <v/>
      </c>
      <c r="E286" s="9">
        <f>IFERROR(IF(285&gt;입력!B6*12,"",E285-C286),0)</f>
        <v/>
      </c>
    </row>
    <row r="287">
      <c r="A287" s="8" t="n">
        <v>286</v>
      </c>
      <c r="B287" s="9">
        <f>IFERROR(IF(286&gt;입력!B6*12,"",IF(입력!B7="원리금균등",ROUND(-PMT(입력!B5/100/12,입력!B6*12,입력!B4),0),ROUND(입력!B4/(입력!B6*12)+E287*입력!B5/100/12,0))),0)</f>
        <v/>
      </c>
      <c r="C287" s="9">
        <f>IFERROR(IF(286&gt;입력!B6*12,"",B287-D287),0)</f>
        <v/>
      </c>
      <c r="D287" s="9">
        <f>IFERROR(IF(286&gt;입력!B6*12,"",ROUND(E286*입력!B5/100/12,0)),0)</f>
        <v/>
      </c>
      <c r="E287" s="9">
        <f>IFERROR(IF(286&gt;입력!B6*12,"",E286-C287),0)</f>
        <v/>
      </c>
    </row>
    <row r="288">
      <c r="A288" s="8" t="n">
        <v>287</v>
      </c>
      <c r="B288" s="9">
        <f>IFERROR(IF(287&gt;입력!B6*12,"",IF(입력!B7="원리금균등",ROUND(-PMT(입력!B5/100/12,입력!B6*12,입력!B4),0),ROUND(입력!B4/(입력!B6*12)+E288*입력!B5/100/12,0))),0)</f>
        <v/>
      </c>
      <c r="C288" s="9">
        <f>IFERROR(IF(287&gt;입력!B6*12,"",B288-D288),0)</f>
        <v/>
      </c>
      <c r="D288" s="9">
        <f>IFERROR(IF(287&gt;입력!B6*12,"",ROUND(E287*입력!B5/100/12,0)),0)</f>
        <v/>
      </c>
      <c r="E288" s="9">
        <f>IFERROR(IF(287&gt;입력!B6*12,"",E287-C288),0)</f>
        <v/>
      </c>
    </row>
    <row r="289">
      <c r="A289" s="8" t="n">
        <v>288</v>
      </c>
      <c r="B289" s="9">
        <f>IFERROR(IF(288&gt;입력!B6*12,"",IF(입력!B7="원리금균등",ROUND(-PMT(입력!B5/100/12,입력!B6*12,입력!B4),0),ROUND(입력!B4/(입력!B6*12)+E289*입력!B5/100/12,0))),0)</f>
        <v/>
      </c>
      <c r="C289" s="9">
        <f>IFERROR(IF(288&gt;입력!B6*12,"",B289-D289),0)</f>
        <v/>
      </c>
      <c r="D289" s="9">
        <f>IFERROR(IF(288&gt;입력!B6*12,"",ROUND(E288*입력!B5/100/12,0)),0)</f>
        <v/>
      </c>
      <c r="E289" s="9">
        <f>IFERROR(IF(288&gt;입력!B6*12,"",E288-C289),0)</f>
        <v/>
      </c>
    </row>
    <row r="290">
      <c r="A290" s="8" t="n">
        <v>289</v>
      </c>
      <c r="B290" s="9">
        <f>IFERROR(IF(289&gt;입력!B6*12,"",IF(입력!B7="원리금균등",ROUND(-PMT(입력!B5/100/12,입력!B6*12,입력!B4),0),ROUND(입력!B4/(입력!B6*12)+E290*입력!B5/100/12,0))),0)</f>
        <v/>
      </c>
      <c r="C290" s="9">
        <f>IFERROR(IF(289&gt;입력!B6*12,"",B290-D290),0)</f>
        <v/>
      </c>
      <c r="D290" s="9">
        <f>IFERROR(IF(289&gt;입력!B6*12,"",ROUND(E289*입력!B5/100/12,0)),0)</f>
        <v/>
      </c>
      <c r="E290" s="9">
        <f>IFERROR(IF(289&gt;입력!B6*12,"",E289-C290),0)</f>
        <v/>
      </c>
    </row>
    <row r="291">
      <c r="A291" s="8" t="n">
        <v>290</v>
      </c>
      <c r="B291" s="9">
        <f>IFERROR(IF(290&gt;입력!B6*12,"",IF(입력!B7="원리금균등",ROUND(-PMT(입력!B5/100/12,입력!B6*12,입력!B4),0),ROUND(입력!B4/(입력!B6*12)+E291*입력!B5/100/12,0))),0)</f>
        <v/>
      </c>
      <c r="C291" s="9">
        <f>IFERROR(IF(290&gt;입력!B6*12,"",B291-D291),0)</f>
        <v/>
      </c>
      <c r="D291" s="9">
        <f>IFERROR(IF(290&gt;입력!B6*12,"",ROUND(E290*입력!B5/100/12,0)),0)</f>
        <v/>
      </c>
      <c r="E291" s="9">
        <f>IFERROR(IF(290&gt;입력!B6*12,"",E290-C291),0)</f>
        <v/>
      </c>
    </row>
    <row r="292">
      <c r="A292" s="8" t="n">
        <v>291</v>
      </c>
      <c r="B292" s="9">
        <f>IFERROR(IF(291&gt;입력!B6*12,"",IF(입력!B7="원리금균등",ROUND(-PMT(입력!B5/100/12,입력!B6*12,입력!B4),0),ROUND(입력!B4/(입력!B6*12)+E292*입력!B5/100/12,0))),0)</f>
        <v/>
      </c>
      <c r="C292" s="9">
        <f>IFERROR(IF(291&gt;입력!B6*12,"",B292-D292),0)</f>
        <v/>
      </c>
      <c r="D292" s="9">
        <f>IFERROR(IF(291&gt;입력!B6*12,"",ROUND(E291*입력!B5/100/12,0)),0)</f>
        <v/>
      </c>
      <c r="E292" s="9">
        <f>IFERROR(IF(291&gt;입력!B6*12,"",E291-C292),0)</f>
        <v/>
      </c>
    </row>
    <row r="293">
      <c r="A293" s="8" t="n">
        <v>292</v>
      </c>
      <c r="B293" s="9">
        <f>IFERROR(IF(292&gt;입력!B6*12,"",IF(입력!B7="원리금균등",ROUND(-PMT(입력!B5/100/12,입력!B6*12,입력!B4),0),ROUND(입력!B4/(입력!B6*12)+E293*입력!B5/100/12,0))),0)</f>
        <v/>
      </c>
      <c r="C293" s="9">
        <f>IFERROR(IF(292&gt;입력!B6*12,"",B293-D293),0)</f>
        <v/>
      </c>
      <c r="D293" s="9">
        <f>IFERROR(IF(292&gt;입력!B6*12,"",ROUND(E292*입력!B5/100/12,0)),0)</f>
        <v/>
      </c>
      <c r="E293" s="9">
        <f>IFERROR(IF(292&gt;입력!B6*12,"",E292-C293),0)</f>
        <v/>
      </c>
    </row>
    <row r="294">
      <c r="A294" s="8" t="n">
        <v>293</v>
      </c>
      <c r="B294" s="9">
        <f>IFERROR(IF(293&gt;입력!B6*12,"",IF(입력!B7="원리금균등",ROUND(-PMT(입력!B5/100/12,입력!B6*12,입력!B4),0),ROUND(입력!B4/(입력!B6*12)+E294*입력!B5/100/12,0))),0)</f>
        <v/>
      </c>
      <c r="C294" s="9">
        <f>IFERROR(IF(293&gt;입력!B6*12,"",B294-D294),0)</f>
        <v/>
      </c>
      <c r="D294" s="9">
        <f>IFERROR(IF(293&gt;입력!B6*12,"",ROUND(E293*입력!B5/100/12,0)),0)</f>
        <v/>
      </c>
      <c r="E294" s="9">
        <f>IFERROR(IF(293&gt;입력!B6*12,"",E293-C294),0)</f>
        <v/>
      </c>
    </row>
    <row r="295">
      <c r="A295" s="8" t="n">
        <v>294</v>
      </c>
      <c r="B295" s="9">
        <f>IFERROR(IF(294&gt;입력!B6*12,"",IF(입력!B7="원리금균등",ROUND(-PMT(입력!B5/100/12,입력!B6*12,입력!B4),0),ROUND(입력!B4/(입력!B6*12)+E295*입력!B5/100/12,0))),0)</f>
        <v/>
      </c>
      <c r="C295" s="9">
        <f>IFERROR(IF(294&gt;입력!B6*12,"",B295-D295),0)</f>
        <v/>
      </c>
      <c r="D295" s="9">
        <f>IFERROR(IF(294&gt;입력!B6*12,"",ROUND(E294*입력!B5/100/12,0)),0)</f>
        <v/>
      </c>
      <c r="E295" s="9">
        <f>IFERROR(IF(294&gt;입력!B6*12,"",E294-C295),0)</f>
        <v/>
      </c>
    </row>
    <row r="296">
      <c r="A296" s="8" t="n">
        <v>295</v>
      </c>
      <c r="B296" s="9">
        <f>IFERROR(IF(295&gt;입력!B6*12,"",IF(입력!B7="원리금균등",ROUND(-PMT(입력!B5/100/12,입력!B6*12,입력!B4),0),ROUND(입력!B4/(입력!B6*12)+E296*입력!B5/100/12,0))),0)</f>
        <v/>
      </c>
      <c r="C296" s="9">
        <f>IFERROR(IF(295&gt;입력!B6*12,"",B296-D296),0)</f>
        <v/>
      </c>
      <c r="D296" s="9">
        <f>IFERROR(IF(295&gt;입력!B6*12,"",ROUND(E295*입력!B5/100/12,0)),0)</f>
        <v/>
      </c>
      <c r="E296" s="9">
        <f>IFERROR(IF(295&gt;입력!B6*12,"",E295-C296),0)</f>
        <v/>
      </c>
    </row>
    <row r="297">
      <c r="A297" s="8" t="n">
        <v>296</v>
      </c>
      <c r="B297" s="9">
        <f>IFERROR(IF(296&gt;입력!B6*12,"",IF(입력!B7="원리금균등",ROUND(-PMT(입력!B5/100/12,입력!B6*12,입력!B4),0),ROUND(입력!B4/(입력!B6*12)+E297*입력!B5/100/12,0))),0)</f>
        <v/>
      </c>
      <c r="C297" s="9">
        <f>IFERROR(IF(296&gt;입력!B6*12,"",B297-D297),0)</f>
        <v/>
      </c>
      <c r="D297" s="9">
        <f>IFERROR(IF(296&gt;입력!B6*12,"",ROUND(E296*입력!B5/100/12,0)),0)</f>
        <v/>
      </c>
      <c r="E297" s="9">
        <f>IFERROR(IF(296&gt;입력!B6*12,"",E296-C297),0)</f>
        <v/>
      </c>
    </row>
    <row r="298">
      <c r="A298" s="8" t="n">
        <v>297</v>
      </c>
      <c r="B298" s="9">
        <f>IFERROR(IF(297&gt;입력!B6*12,"",IF(입력!B7="원리금균등",ROUND(-PMT(입력!B5/100/12,입력!B6*12,입력!B4),0),ROUND(입력!B4/(입력!B6*12)+E298*입력!B5/100/12,0))),0)</f>
        <v/>
      </c>
      <c r="C298" s="9">
        <f>IFERROR(IF(297&gt;입력!B6*12,"",B298-D298),0)</f>
        <v/>
      </c>
      <c r="D298" s="9">
        <f>IFERROR(IF(297&gt;입력!B6*12,"",ROUND(E297*입력!B5/100/12,0)),0)</f>
        <v/>
      </c>
      <c r="E298" s="9">
        <f>IFERROR(IF(297&gt;입력!B6*12,"",E297-C298),0)</f>
        <v/>
      </c>
    </row>
    <row r="299">
      <c r="A299" s="8" t="n">
        <v>298</v>
      </c>
      <c r="B299" s="9">
        <f>IFERROR(IF(298&gt;입력!B6*12,"",IF(입력!B7="원리금균등",ROUND(-PMT(입력!B5/100/12,입력!B6*12,입력!B4),0),ROUND(입력!B4/(입력!B6*12)+E299*입력!B5/100/12,0))),0)</f>
        <v/>
      </c>
      <c r="C299" s="9">
        <f>IFERROR(IF(298&gt;입력!B6*12,"",B299-D299),0)</f>
        <v/>
      </c>
      <c r="D299" s="9">
        <f>IFERROR(IF(298&gt;입력!B6*12,"",ROUND(E298*입력!B5/100/12,0)),0)</f>
        <v/>
      </c>
      <c r="E299" s="9">
        <f>IFERROR(IF(298&gt;입력!B6*12,"",E298-C299),0)</f>
        <v/>
      </c>
    </row>
    <row r="300">
      <c r="A300" s="8" t="n">
        <v>299</v>
      </c>
      <c r="B300" s="9">
        <f>IFERROR(IF(299&gt;입력!B6*12,"",IF(입력!B7="원리금균등",ROUND(-PMT(입력!B5/100/12,입력!B6*12,입력!B4),0),ROUND(입력!B4/(입력!B6*12)+E300*입력!B5/100/12,0))),0)</f>
        <v/>
      </c>
      <c r="C300" s="9">
        <f>IFERROR(IF(299&gt;입력!B6*12,"",B300-D300),0)</f>
        <v/>
      </c>
      <c r="D300" s="9">
        <f>IFERROR(IF(299&gt;입력!B6*12,"",ROUND(E299*입력!B5/100/12,0)),0)</f>
        <v/>
      </c>
      <c r="E300" s="9">
        <f>IFERROR(IF(299&gt;입력!B6*12,"",E299-C300),0)</f>
        <v/>
      </c>
    </row>
    <row r="301">
      <c r="A301" s="8" t="n">
        <v>300</v>
      </c>
      <c r="B301" s="9">
        <f>IFERROR(IF(300&gt;입력!B6*12,"",IF(입력!B7="원리금균등",ROUND(-PMT(입력!B5/100/12,입력!B6*12,입력!B4),0),ROUND(입력!B4/(입력!B6*12)+E301*입력!B5/100/12,0))),0)</f>
        <v/>
      </c>
      <c r="C301" s="9">
        <f>IFERROR(IF(300&gt;입력!B6*12,"",B301-D301),0)</f>
        <v/>
      </c>
      <c r="D301" s="9">
        <f>IFERROR(IF(300&gt;입력!B6*12,"",ROUND(E300*입력!B5/100/12,0)),0)</f>
        <v/>
      </c>
      <c r="E301" s="9">
        <f>IFERROR(IF(300&gt;입력!B6*12,"",E300-C301),0)</f>
        <v/>
      </c>
    </row>
    <row r="302">
      <c r="A302" s="8" t="n">
        <v>301</v>
      </c>
      <c r="B302" s="9">
        <f>IFERROR(IF(301&gt;입력!B6*12,"",IF(입력!B7="원리금균등",ROUND(-PMT(입력!B5/100/12,입력!B6*12,입력!B4),0),ROUND(입력!B4/(입력!B6*12)+E302*입력!B5/100/12,0))),0)</f>
        <v/>
      </c>
      <c r="C302" s="9">
        <f>IFERROR(IF(301&gt;입력!B6*12,"",B302-D302),0)</f>
        <v/>
      </c>
      <c r="D302" s="9">
        <f>IFERROR(IF(301&gt;입력!B6*12,"",ROUND(E301*입력!B5/100/12,0)),0)</f>
        <v/>
      </c>
      <c r="E302" s="9">
        <f>IFERROR(IF(301&gt;입력!B6*12,"",E301-C302),0)</f>
        <v/>
      </c>
    </row>
    <row r="303">
      <c r="A303" s="8" t="n">
        <v>302</v>
      </c>
      <c r="B303" s="9">
        <f>IFERROR(IF(302&gt;입력!B6*12,"",IF(입력!B7="원리금균등",ROUND(-PMT(입력!B5/100/12,입력!B6*12,입력!B4),0),ROUND(입력!B4/(입력!B6*12)+E303*입력!B5/100/12,0))),0)</f>
        <v/>
      </c>
      <c r="C303" s="9">
        <f>IFERROR(IF(302&gt;입력!B6*12,"",B303-D303),0)</f>
        <v/>
      </c>
      <c r="D303" s="9">
        <f>IFERROR(IF(302&gt;입력!B6*12,"",ROUND(E302*입력!B5/100/12,0)),0)</f>
        <v/>
      </c>
      <c r="E303" s="9">
        <f>IFERROR(IF(302&gt;입력!B6*12,"",E302-C303),0)</f>
        <v/>
      </c>
    </row>
    <row r="304">
      <c r="A304" s="8" t="n">
        <v>303</v>
      </c>
      <c r="B304" s="9">
        <f>IFERROR(IF(303&gt;입력!B6*12,"",IF(입력!B7="원리금균등",ROUND(-PMT(입력!B5/100/12,입력!B6*12,입력!B4),0),ROUND(입력!B4/(입력!B6*12)+E304*입력!B5/100/12,0))),0)</f>
        <v/>
      </c>
      <c r="C304" s="9">
        <f>IFERROR(IF(303&gt;입력!B6*12,"",B304-D304),0)</f>
        <v/>
      </c>
      <c r="D304" s="9">
        <f>IFERROR(IF(303&gt;입력!B6*12,"",ROUND(E303*입력!B5/100/12,0)),0)</f>
        <v/>
      </c>
      <c r="E304" s="9">
        <f>IFERROR(IF(303&gt;입력!B6*12,"",E303-C304),0)</f>
        <v/>
      </c>
    </row>
    <row r="305">
      <c r="A305" s="8" t="n">
        <v>304</v>
      </c>
      <c r="B305" s="9">
        <f>IFERROR(IF(304&gt;입력!B6*12,"",IF(입력!B7="원리금균등",ROUND(-PMT(입력!B5/100/12,입력!B6*12,입력!B4),0),ROUND(입력!B4/(입력!B6*12)+E305*입력!B5/100/12,0))),0)</f>
        <v/>
      </c>
      <c r="C305" s="9">
        <f>IFERROR(IF(304&gt;입력!B6*12,"",B305-D305),0)</f>
        <v/>
      </c>
      <c r="D305" s="9">
        <f>IFERROR(IF(304&gt;입력!B6*12,"",ROUND(E304*입력!B5/100/12,0)),0)</f>
        <v/>
      </c>
      <c r="E305" s="9">
        <f>IFERROR(IF(304&gt;입력!B6*12,"",E304-C305),0)</f>
        <v/>
      </c>
    </row>
    <row r="306">
      <c r="A306" s="8" t="n">
        <v>305</v>
      </c>
      <c r="B306" s="9">
        <f>IFERROR(IF(305&gt;입력!B6*12,"",IF(입력!B7="원리금균등",ROUND(-PMT(입력!B5/100/12,입력!B6*12,입력!B4),0),ROUND(입력!B4/(입력!B6*12)+E306*입력!B5/100/12,0))),0)</f>
        <v/>
      </c>
      <c r="C306" s="9">
        <f>IFERROR(IF(305&gt;입력!B6*12,"",B306-D306),0)</f>
        <v/>
      </c>
      <c r="D306" s="9">
        <f>IFERROR(IF(305&gt;입력!B6*12,"",ROUND(E305*입력!B5/100/12,0)),0)</f>
        <v/>
      </c>
      <c r="E306" s="9">
        <f>IFERROR(IF(305&gt;입력!B6*12,"",E305-C306),0)</f>
        <v/>
      </c>
    </row>
    <row r="307">
      <c r="A307" s="8" t="n">
        <v>306</v>
      </c>
      <c r="B307" s="9">
        <f>IFERROR(IF(306&gt;입력!B6*12,"",IF(입력!B7="원리금균등",ROUND(-PMT(입력!B5/100/12,입력!B6*12,입력!B4),0),ROUND(입력!B4/(입력!B6*12)+E307*입력!B5/100/12,0))),0)</f>
        <v/>
      </c>
      <c r="C307" s="9">
        <f>IFERROR(IF(306&gt;입력!B6*12,"",B307-D307),0)</f>
        <v/>
      </c>
      <c r="D307" s="9">
        <f>IFERROR(IF(306&gt;입력!B6*12,"",ROUND(E306*입력!B5/100/12,0)),0)</f>
        <v/>
      </c>
      <c r="E307" s="9">
        <f>IFERROR(IF(306&gt;입력!B6*12,"",E306-C307),0)</f>
        <v/>
      </c>
    </row>
    <row r="308">
      <c r="A308" s="8" t="n">
        <v>307</v>
      </c>
      <c r="B308" s="9">
        <f>IFERROR(IF(307&gt;입력!B6*12,"",IF(입력!B7="원리금균등",ROUND(-PMT(입력!B5/100/12,입력!B6*12,입력!B4),0),ROUND(입력!B4/(입력!B6*12)+E308*입력!B5/100/12,0))),0)</f>
        <v/>
      </c>
      <c r="C308" s="9">
        <f>IFERROR(IF(307&gt;입력!B6*12,"",B308-D308),0)</f>
        <v/>
      </c>
      <c r="D308" s="9">
        <f>IFERROR(IF(307&gt;입력!B6*12,"",ROUND(E307*입력!B5/100/12,0)),0)</f>
        <v/>
      </c>
      <c r="E308" s="9">
        <f>IFERROR(IF(307&gt;입력!B6*12,"",E307-C308),0)</f>
        <v/>
      </c>
    </row>
    <row r="309">
      <c r="A309" s="8" t="n">
        <v>308</v>
      </c>
      <c r="B309" s="9">
        <f>IFERROR(IF(308&gt;입력!B6*12,"",IF(입력!B7="원리금균등",ROUND(-PMT(입력!B5/100/12,입력!B6*12,입력!B4),0),ROUND(입력!B4/(입력!B6*12)+E309*입력!B5/100/12,0))),0)</f>
        <v/>
      </c>
      <c r="C309" s="9">
        <f>IFERROR(IF(308&gt;입력!B6*12,"",B309-D309),0)</f>
        <v/>
      </c>
      <c r="D309" s="9">
        <f>IFERROR(IF(308&gt;입력!B6*12,"",ROUND(E308*입력!B5/100/12,0)),0)</f>
        <v/>
      </c>
      <c r="E309" s="9">
        <f>IFERROR(IF(308&gt;입력!B6*12,"",E308-C309),0)</f>
        <v/>
      </c>
    </row>
    <row r="310">
      <c r="A310" s="8" t="n">
        <v>309</v>
      </c>
      <c r="B310" s="9">
        <f>IFERROR(IF(309&gt;입력!B6*12,"",IF(입력!B7="원리금균등",ROUND(-PMT(입력!B5/100/12,입력!B6*12,입력!B4),0),ROUND(입력!B4/(입력!B6*12)+E310*입력!B5/100/12,0))),0)</f>
        <v/>
      </c>
      <c r="C310" s="9">
        <f>IFERROR(IF(309&gt;입력!B6*12,"",B310-D310),0)</f>
        <v/>
      </c>
      <c r="D310" s="9">
        <f>IFERROR(IF(309&gt;입력!B6*12,"",ROUND(E309*입력!B5/100/12,0)),0)</f>
        <v/>
      </c>
      <c r="E310" s="9">
        <f>IFERROR(IF(309&gt;입력!B6*12,"",E309-C310),0)</f>
        <v/>
      </c>
    </row>
    <row r="311">
      <c r="A311" s="8" t="n">
        <v>310</v>
      </c>
      <c r="B311" s="9">
        <f>IFERROR(IF(310&gt;입력!B6*12,"",IF(입력!B7="원리금균등",ROUND(-PMT(입력!B5/100/12,입력!B6*12,입력!B4),0),ROUND(입력!B4/(입력!B6*12)+E311*입력!B5/100/12,0))),0)</f>
        <v/>
      </c>
      <c r="C311" s="9">
        <f>IFERROR(IF(310&gt;입력!B6*12,"",B311-D311),0)</f>
        <v/>
      </c>
      <c r="D311" s="9">
        <f>IFERROR(IF(310&gt;입력!B6*12,"",ROUND(E310*입력!B5/100/12,0)),0)</f>
        <v/>
      </c>
      <c r="E311" s="9">
        <f>IFERROR(IF(310&gt;입력!B6*12,"",E310-C311),0)</f>
        <v/>
      </c>
    </row>
    <row r="312">
      <c r="A312" s="8" t="n">
        <v>311</v>
      </c>
      <c r="B312" s="9">
        <f>IFERROR(IF(311&gt;입력!B6*12,"",IF(입력!B7="원리금균등",ROUND(-PMT(입력!B5/100/12,입력!B6*12,입력!B4),0),ROUND(입력!B4/(입력!B6*12)+E312*입력!B5/100/12,0))),0)</f>
        <v/>
      </c>
      <c r="C312" s="9">
        <f>IFERROR(IF(311&gt;입력!B6*12,"",B312-D312),0)</f>
        <v/>
      </c>
      <c r="D312" s="9">
        <f>IFERROR(IF(311&gt;입력!B6*12,"",ROUND(E311*입력!B5/100/12,0)),0)</f>
        <v/>
      </c>
      <c r="E312" s="9">
        <f>IFERROR(IF(311&gt;입력!B6*12,"",E311-C312),0)</f>
        <v/>
      </c>
    </row>
    <row r="313">
      <c r="A313" s="8" t="n">
        <v>312</v>
      </c>
      <c r="B313" s="9">
        <f>IFERROR(IF(312&gt;입력!B6*12,"",IF(입력!B7="원리금균등",ROUND(-PMT(입력!B5/100/12,입력!B6*12,입력!B4),0),ROUND(입력!B4/(입력!B6*12)+E313*입력!B5/100/12,0))),0)</f>
        <v/>
      </c>
      <c r="C313" s="9">
        <f>IFERROR(IF(312&gt;입력!B6*12,"",B313-D313),0)</f>
        <v/>
      </c>
      <c r="D313" s="9">
        <f>IFERROR(IF(312&gt;입력!B6*12,"",ROUND(E312*입력!B5/100/12,0)),0)</f>
        <v/>
      </c>
      <c r="E313" s="9">
        <f>IFERROR(IF(312&gt;입력!B6*12,"",E312-C313),0)</f>
        <v/>
      </c>
    </row>
    <row r="314">
      <c r="A314" s="8" t="n">
        <v>313</v>
      </c>
      <c r="B314" s="9">
        <f>IFERROR(IF(313&gt;입력!B6*12,"",IF(입력!B7="원리금균등",ROUND(-PMT(입력!B5/100/12,입력!B6*12,입력!B4),0),ROUND(입력!B4/(입력!B6*12)+E314*입력!B5/100/12,0))),0)</f>
        <v/>
      </c>
      <c r="C314" s="9">
        <f>IFERROR(IF(313&gt;입력!B6*12,"",B314-D314),0)</f>
        <v/>
      </c>
      <c r="D314" s="9">
        <f>IFERROR(IF(313&gt;입력!B6*12,"",ROUND(E313*입력!B5/100/12,0)),0)</f>
        <v/>
      </c>
      <c r="E314" s="9">
        <f>IFERROR(IF(313&gt;입력!B6*12,"",E313-C314),0)</f>
        <v/>
      </c>
    </row>
    <row r="315">
      <c r="A315" s="8" t="n">
        <v>314</v>
      </c>
      <c r="B315" s="9">
        <f>IFERROR(IF(314&gt;입력!B6*12,"",IF(입력!B7="원리금균등",ROUND(-PMT(입력!B5/100/12,입력!B6*12,입력!B4),0),ROUND(입력!B4/(입력!B6*12)+E315*입력!B5/100/12,0))),0)</f>
        <v/>
      </c>
      <c r="C315" s="9">
        <f>IFERROR(IF(314&gt;입력!B6*12,"",B315-D315),0)</f>
        <v/>
      </c>
      <c r="D315" s="9">
        <f>IFERROR(IF(314&gt;입력!B6*12,"",ROUND(E314*입력!B5/100/12,0)),0)</f>
        <v/>
      </c>
      <c r="E315" s="9">
        <f>IFERROR(IF(314&gt;입력!B6*12,"",E314-C315),0)</f>
        <v/>
      </c>
    </row>
    <row r="316">
      <c r="A316" s="8" t="n">
        <v>315</v>
      </c>
      <c r="B316" s="9">
        <f>IFERROR(IF(315&gt;입력!B6*12,"",IF(입력!B7="원리금균등",ROUND(-PMT(입력!B5/100/12,입력!B6*12,입력!B4),0),ROUND(입력!B4/(입력!B6*12)+E316*입력!B5/100/12,0))),0)</f>
        <v/>
      </c>
      <c r="C316" s="9">
        <f>IFERROR(IF(315&gt;입력!B6*12,"",B316-D316),0)</f>
        <v/>
      </c>
      <c r="D316" s="9">
        <f>IFERROR(IF(315&gt;입력!B6*12,"",ROUND(E315*입력!B5/100/12,0)),0)</f>
        <v/>
      </c>
      <c r="E316" s="9">
        <f>IFERROR(IF(315&gt;입력!B6*12,"",E315-C316),0)</f>
        <v/>
      </c>
    </row>
    <row r="317">
      <c r="A317" s="8" t="n">
        <v>316</v>
      </c>
      <c r="B317" s="9">
        <f>IFERROR(IF(316&gt;입력!B6*12,"",IF(입력!B7="원리금균등",ROUND(-PMT(입력!B5/100/12,입력!B6*12,입력!B4),0),ROUND(입력!B4/(입력!B6*12)+E317*입력!B5/100/12,0))),0)</f>
        <v/>
      </c>
      <c r="C317" s="9">
        <f>IFERROR(IF(316&gt;입력!B6*12,"",B317-D317),0)</f>
        <v/>
      </c>
      <c r="D317" s="9">
        <f>IFERROR(IF(316&gt;입력!B6*12,"",ROUND(E316*입력!B5/100/12,0)),0)</f>
        <v/>
      </c>
      <c r="E317" s="9">
        <f>IFERROR(IF(316&gt;입력!B6*12,"",E316-C317),0)</f>
        <v/>
      </c>
    </row>
    <row r="318">
      <c r="A318" s="8" t="n">
        <v>317</v>
      </c>
      <c r="B318" s="9">
        <f>IFERROR(IF(317&gt;입력!B6*12,"",IF(입력!B7="원리금균등",ROUND(-PMT(입력!B5/100/12,입력!B6*12,입력!B4),0),ROUND(입력!B4/(입력!B6*12)+E318*입력!B5/100/12,0))),0)</f>
        <v/>
      </c>
      <c r="C318" s="9">
        <f>IFERROR(IF(317&gt;입력!B6*12,"",B318-D318),0)</f>
        <v/>
      </c>
      <c r="D318" s="9">
        <f>IFERROR(IF(317&gt;입력!B6*12,"",ROUND(E317*입력!B5/100/12,0)),0)</f>
        <v/>
      </c>
      <c r="E318" s="9">
        <f>IFERROR(IF(317&gt;입력!B6*12,"",E317-C318),0)</f>
        <v/>
      </c>
    </row>
    <row r="319">
      <c r="A319" s="8" t="n">
        <v>318</v>
      </c>
      <c r="B319" s="9">
        <f>IFERROR(IF(318&gt;입력!B6*12,"",IF(입력!B7="원리금균등",ROUND(-PMT(입력!B5/100/12,입력!B6*12,입력!B4),0),ROUND(입력!B4/(입력!B6*12)+E319*입력!B5/100/12,0))),0)</f>
        <v/>
      </c>
      <c r="C319" s="9">
        <f>IFERROR(IF(318&gt;입력!B6*12,"",B319-D319),0)</f>
        <v/>
      </c>
      <c r="D319" s="9">
        <f>IFERROR(IF(318&gt;입력!B6*12,"",ROUND(E318*입력!B5/100/12,0)),0)</f>
        <v/>
      </c>
      <c r="E319" s="9">
        <f>IFERROR(IF(318&gt;입력!B6*12,"",E318-C319),0)</f>
        <v/>
      </c>
    </row>
    <row r="320">
      <c r="A320" s="8" t="n">
        <v>319</v>
      </c>
      <c r="B320" s="9">
        <f>IFERROR(IF(319&gt;입력!B6*12,"",IF(입력!B7="원리금균등",ROUND(-PMT(입력!B5/100/12,입력!B6*12,입력!B4),0),ROUND(입력!B4/(입력!B6*12)+E320*입력!B5/100/12,0))),0)</f>
        <v/>
      </c>
      <c r="C320" s="9">
        <f>IFERROR(IF(319&gt;입력!B6*12,"",B320-D320),0)</f>
        <v/>
      </c>
      <c r="D320" s="9">
        <f>IFERROR(IF(319&gt;입력!B6*12,"",ROUND(E319*입력!B5/100/12,0)),0)</f>
        <v/>
      </c>
      <c r="E320" s="9">
        <f>IFERROR(IF(319&gt;입력!B6*12,"",E319-C320),0)</f>
        <v/>
      </c>
    </row>
    <row r="321">
      <c r="A321" s="8" t="n">
        <v>320</v>
      </c>
      <c r="B321" s="9">
        <f>IFERROR(IF(320&gt;입력!B6*12,"",IF(입력!B7="원리금균등",ROUND(-PMT(입력!B5/100/12,입력!B6*12,입력!B4),0),ROUND(입력!B4/(입력!B6*12)+E321*입력!B5/100/12,0))),0)</f>
        <v/>
      </c>
      <c r="C321" s="9">
        <f>IFERROR(IF(320&gt;입력!B6*12,"",B321-D321),0)</f>
        <v/>
      </c>
      <c r="D321" s="9">
        <f>IFERROR(IF(320&gt;입력!B6*12,"",ROUND(E320*입력!B5/100/12,0)),0)</f>
        <v/>
      </c>
      <c r="E321" s="9">
        <f>IFERROR(IF(320&gt;입력!B6*12,"",E320-C321),0)</f>
        <v/>
      </c>
    </row>
    <row r="322">
      <c r="A322" s="8" t="n">
        <v>321</v>
      </c>
      <c r="B322" s="9">
        <f>IFERROR(IF(321&gt;입력!B6*12,"",IF(입력!B7="원리금균등",ROUND(-PMT(입력!B5/100/12,입력!B6*12,입력!B4),0),ROUND(입력!B4/(입력!B6*12)+E322*입력!B5/100/12,0))),0)</f>
        <v/>
      </c>
      <c r="C322" s="9">
        <f>IFERROR(IF(321&gt;입력!B6*12,"",B322-D322),0)</f>
        <v/>
      </c>
      <c r="D322" s="9">
        <f>IFERROR(IF(321&gt;입력!B6*12,"",ROUND(E321*입력!B5/100/12,0)),0)</f>
        <v/>
      </c>
      <c r="E322" s="9">
        <f>IFERROR(IF(321&gt;입력!B6*12,"",E321-C322),0)</f>
        <v/>
      </c>
    </row>
    <row r="323">
      <c r="A323" s="8" t="n">
        <v>322</v>
      </c>
      <c r="B323" s="9">
        <f>IFERROR(IF(322&gt;입력!B6*12,"",IF(입력!B7="원리금균등",ROUND(-PMT(입력!B5/100/12,입력!B6*12,입력!B4),0),ROUND(입력!B4/(입력!B6*12)+E323*입력!B5/100/12,0))),0)</f>
        <v/>
      </c>
      <c r="C323" s="9">
        <f>IFERROR(IF(322&gt;입력!B6*12,"",B323-D323),0)</f>
        <v/>
      </c>
      <c r="D323" s="9">
        <f>IFERROR(IF(322&gt;입력!B6*12,"",ROUND(E322*입력!B5/100/12,0)),0)</f>
        <v/>
      </c>
      <c r="E323" s="9">
        <f>IFERROR(IF(322&gt;입력!B6*12,"",E322-C323),0)</f>
        <v/>
      </c>
    </row>
    <row r="324">
      <c r="A324" s="8" t="n">
        <v>323</v>
      </c>
      <c r="B324" s="9">
        <f>IFERROR(IF(323&gt;입력!B6*12,"",IF(입력!B7="원리금균등",ROUND(-PMT(입력!B5/100/12,입력!B6*12,입력!B4),0),ROUND(입력!B4/(입력!B6*12)+E324*입력!B5/100/12,0))),0)</f>
        <v/>
      </c>
      <c r="C324" s="9">
        <f>IFERROR(IF(323&gt;입력!B6*12,"",B324-D324),0)</f>
        <v/>
      </c>
      <c r="D324" s="9">
        <f>IFERROR(IF(323&gt;입력!B6*12,"",ROUND(E323*입력!B5/100/12,0)),0)</f>
        <v/>
      </c>
      <c r="E324" s="9">
        <f>IFERROR(IF(323&gt;입력!B6*12,"",E323-C324),0)</f>
        <v/>
      </c>
    </row>
    <row r="325">
      <c r="A325" s="8" t="n">
        <v>324</v>
      </c>
      <c r="B325" s="9">
        <f>IFERROR(IF(324&gt;입력!B6*12,"",IF(입력!B7="원리금균등",ROUND(-PMT(입력!B5/100/12,입력!B6*12,입력!B4),0),ROUND(입력!B4/(입력!B6*12)+E325*입력!B5/100/12,0))),0)</f>
        <v/>
      </c>
      <c r="C325" s="9">
        <f>IFERROR(IF(324&gt;입력!B6*12,"",B325-D325),0)</f>
        <v/>
      </c>
      <c r="D325" s="9">
        <f>IFERROR(IF(324&gt;입력!B6*12,"",ROUND(E324*입력!B5/100/12,0)),0)</f>
        <v/>
      </c>
      <c r="E325" s="9">
        <f>IFERROR(IF(324&gt;입력!B6*12,"",E324-C325),0)</f>
        <v/>
      </c>
    </row>
    <row r="326">
      <c r="A326" s="8" t="n">
        <v>325</v>
      </c>
      <c r="B326" s="9">
        <f>IFERROR(IF(325&gt;입력!B6*12,"",IF(입력!B7="원리금균등",ROUND(-PMT(입력!B5/100/12,입력!B6*12,입력!B4),0),ROUND(입력!B4/(입력!B6*12)+E326*입력!B5/100/12,0))),0)</f>
        <v/>
      </c>
      <c r="C326" s="9">
        <f>IFERROR(IF(325&gt;입력!B6*12,"",B326-D326),0)</f>
        <v/>
      </c>
      <c r="D326" s="9">
        <f>IFERROR(IF(325&gt;입력!B6*12,"",ROUND(E325*입력!B5/100/12,0)),0)</f>
        <v/>
      </c>
      <c r="E326" s="9">
        <f>IFERROR(IF(325&gt;입력!B6*12,"",E325-C326),0)</f>
        <v/>
      </c>
    </row>
    <row r="327">
      <c r="A327" s="8" t="n">
        <v>326</v>
      </c>
      <c r="B327" s="9">
        <f>IFERROR(IF(326&gt;입력!B6*12,"",IF(입력!B7="원리금균등",ROUND(-PMT(입력!B5/100/12,입력!B6*12,입력!B4),0),ROUND(입력!B4/(입력!B6*12)+E327*입력!B5/100/12,0))),0)</f>
        <v/>
      </c>
      <c r="C327" s="9">
        <f>IFERROR(IF(326&gt;입력!B6*12,"",B327-D327),0)</f>
        <v/>
      </c>
      <c r="D327" s="9">
        <f>IFERROR(IF(326&gt;입력!B6*12,"",ROUND(E326*입력!B5/100/12,0)),0)</f>
        <v/>
      </c>
      <c r="E327" s="9">
        <f>IFERROR(IF(326&gt;입력!B6*12,"",E326-C327),0)</f>
        <v/>
      </c>
    </row>
    <row r="328">
      <c r="A328" s="8" t="n">
        <v>327</v>
      </c>
      <c r="B328" s="9">
        <f>IFERROR(IF(327&gt;입력!B6*12,"",IF(입력!B7="원리금균등",ROUND(-PMT(입력!B5/100/12,입력!B6*12,입력!B4),0),ROUND(입력!B4/(입력!B6*12)+E328*입력!B5/100/12,0))),0)</f>
        <v/>
      </c>
      <c r="C328" s="9">
        <f>IFERROR(IF(327&gt;입력!B6*12,"",B328-D328),0)</f>
        <v/>
      </c>
      <c r="D328" s="9">
        <f>IFERROR(IF(327&gt;입력!B6*12,"",ROUND(E327*입력!B5/100/12,0)),0)</f>
        <v/>
      </c>
      <c r="E328" s="9">
        <f>IFERROR(IF(327&gt;입력!B6*12,"",E327-C328),0)</f>
        <v/>
      </c>
    </row>
    <row r="329">
      <c r="A329" s="8" t="n">
        <v>328</v>
      </c>
      <c r="B329" s="9">
        <f>IFERROR(IF(328&gt;입력!B6*12,"",IF(입력!B7="원리금균등",ROUND(-PMT(입력!B5/100/12,입력!B6*12,입력!B4),0),ROUND(입력!B4/(입력!B6*12)+E329*입력!B5/100/12,0))),0)</f>
        <v/>
      </c>
      <c r="C329" s="9">
        <f>IFERROR(IF(328&gt;입력!B6*12,"",B329-D329),0)</f>
        <v/>
      </c>
      <c r="D329" s="9">
        <f>IFERROR(IF(328&gt;입력!B6*12,"",ROUND(E328*입력!B5/100/12,0)),0)</f>
        <v/>
      </c>
      <c r="E329" s="9">
        <f>IFERROR(IF(328&gt;입력!B6*12,"",E328-C329),0)</f>
        <v/>
      </c>
    </row>
    <row r="330">
      <c r="A330" s="8" t="n">
        <v>329</v>
      </c>
      <c r="B330" s="9">
        <f>IFERROR(IF(329&gt;입력!B6*12,"",IF(입력!B7="원리금균등",ROUND(-PMT(입력!B5/100/12,입력!B6*12,입력!B4),0),ROUND(입력!B4/(입력!B6*12)+E330*입력!B5/100/12,0))),0)</f>
        <v/>
      </c>
      <c r="C330" s="9">
        <f>IFERROR(IF(329&gt;입력!B6*12,"",B330-D330),0)</f>
        <v/>
      </c>
      <c r="D330" s="9">
        <f>IFERROR(IF(329&gt;입력!B6*12,"",ROUND(E329*입력!B5/100/12,0)),0)</f>
        <v/>
      </c>
      <c r="E330" s="9">
        <f>IFERROR(IF(329&gt;입력!B6*12,"",E329-C330),0)</f>
        <v/>
      </c>
    </row>
    <row r="331">
      <c r="A331" s="8" t="n">
        <v>330</v>
      </c>
      <c r="B331" s="9">
        <f>IFERROR(IF(330&gt;입력!B6*12,"",IF(입력!B7="원리금균등",ROUND(-PMT(입력!B5/100/12,입력!B6*12,입력!B4),0),ROUND(입력!B4/(입력!B6*12)+E331*입력!B5/100/12,0))),0)</f>
        <v/>
      </c>
      <c r="C331" s="9">
        <f>IFERROR(IF(330&gt;입력!B6*12,"",B331-D331),0)</f>
        <v/>
      </c>
      <c r="D331" s="9">
        <f>IFERROR(IF(330&gt;입력!B6*12,"",ROUND(E330*입력!B5/100/12,0)),0)</f>
        <v/>
      </c>
      <c r="E331" s="9">
        <f>IFERROR(IF(330&gt;입력!B6*12,"",E330-C331),0)</f>
        <v/>
      </c>
    </row>
    <row r="332">
      <c r="A332" s="8" t="n">
        <v>331</v>
      </c>
      <c r="B332" s="9">
        <f>IFERROR(IF(331&gt;입력!B6*12,"",IF(입력!B7="원리금균등",ROUND(-PMT(입력!B5/100/12,입력!B6*12,입력!B4),0),ROUND(입력!B4/(입력!B6*12)+E332*입력!B5/100/12,0))),0)</f>
        <v/>
      </c>
      <c r="C332" s="9">
        <f>IFERROR(IF(331&gt;입력!B6*12,"",B332-D332),0)</f>
        <v/>
      </c>
      <c r="D332" s="9">
        <f>IFERROR(IF(331&gt;입력!B6*12,"",ROUND(E331*입력!B5/100/12,0)),0)</f>
        <v/>
      </c>
      <c r="E332" s="9">
        <f>IFERROR(IF(331&gt;입력!B6*12,"",E331-C332),0)</f>
        <v/>
      </c>
    </row>
    <row r="333">
      <c r="A333" s="8" t="n">
        <v>332</v>
      </c>
      <c r="B333" s="9">
        <f>IFERROR(IF(332&gt;입력!B6*12,"",IF(입력!B7="원리금균등",ROUND(-PMT(입력!B5/100/12,입력!B6*12,입력!B4),0),ROUND(입력!B4/(입력!B6*12)+E333*입력!B5/100/12,0))),0)</f>
        <v/>
      </c>
      <c r="C333" s="9">
        <f>IFERROR(IF(332&gt;입력!B6*12,"",B333-D333),0)</f>
        <v/>
      </c>
      <c r="D333" s="9">
        <f>IFERROR(IF(332&gt;입력!B6*12,"",ROUND(E332*입력!B5/100/12,0)),0)</f>
        <v/>
      </c>
      <c r="E333" s="9">
        <f>IFERROR(IF(332&gt;입력!B6*12,"",E332-C333),0)</f>
        <v/>
      </c>
    </row>
    <row r="334">
      <c r="A334" s="8" t="n">
        <v>333</v>
      </c>
      <c r="B334" s="9">
        <f>IFERROR(IF(333&gt;입력!B6*12,"",IF(입력!B7="원리금균등",ROUND(-PMT(입력!B5/100/12,입력!B6*12,입력!B4),0),ROUND(입력!B4/(입력!B6*12)+E334*입력!B5/100/12,0))),0)</f>
        <v/>
      </c>
      <c r="C334" s="9">
        <f>IFERROR(IF(333&gt;입력!B6*12,"",B334-D334),0)</f>
        <v/>
      </c>
      <c r="D334" s="9">
        <f>IFERROR(IF(333&gt;입력!B6*12,"",ROUND(E333*입력!B5/100/12,0)),0)</f>
        <v/>
      </c>
      <c r="E334" s="9">
        <f>IFERROR(IF(333&gt;입력!B6*12,"",E333-C334),0)</f>
        <v/>
      </c>
    </row>
    <row r="335">
      <c r="A335" s="8" t="n">
        <v>334</v>
      </c>
      <c r="B335" s="9">
        <f>IFERROR(IF(334&gt;입력!B6*12,"",IF(입력!B7="원리금균등",ROUND(-PMT(입력!B5/100/12,입력!B6*12,입력!B4),0),ROUND(입력!B4/(입력!B6*12)+E335*입력!B5/100/12,0))),0)</f>
        <v/>
      </c>
      <c r="C335" s="9">
        <f>IFERROR(IF(334&gt;입력!B6*12,"",B335-D335),0)</f>
        <v/>
      </c>
      <c r="D335" s="9">
        <f>IFERROR(IF(334&gt;입력!B6*12,"",ROUND(E334*입력!B5/100/12,0)),0)</f>
        <v/>
      </c>
      <c r="E335" s="9">
        <f>IFERROR(IF(334&gt;입력!B6*12,"",E334-C335),0)</f>
        <v/>
      </c>
    </row>
    <row r="336">
      <c r="A336" s="8" t="n">
        <v>335</v>
      </c>
      <c r="B336" s="9">
        <f>IFERROR(IF(335&gt;입력!B6*12,"",IF(입력!B7="원리금균등",ROUND(-PMT(입력!B5/100/12,입력!B6*12,입력!B4),0),ROUND(입력!B4/(입력!B6*12)+E336*입력!B5/100/12,0))),0)</f>
        <v/>
      </c>
      <c r="C336" s="9">
        <f>IFERROR(IF(335&gt;입력!B6*12,"",B336-D336),0)</f>
        <v/>
      </c>
      <c r="D336" s="9">
        <f>IFERROR(IF(335&gt;입력!B6*12,"",ROUND(E335*입력!B5/100/12,0)),0)</f>
        <v/>
      </c>
      <c r="E336" s="9">
        <f>IFERROR(IF(335&gt;입력!B6*12,"",E335-C336),0)</f>
        <v/>
      </c>
    </row>
    <row r="337">
      <c r="A337" s="8" t="n">
        <v>336</v>
      </c>
      <c r="B337" s="9">
        <f>IFERROR(IF(336&gt;입력!B6*12,"",IF(입력!B7="원리금균등",ROUND(-PMT(입력!B5/100/12,입력!B6*12,입력!B4),0),ROUND(입력!B4/(입력!B6*12)+E337*입력!B5/100/12,0))),0)</f>
        <v/>
      </c>
      <c r="C337" s="9">
        <f>IFERROR(IF(336&gt;입력!B6*12,"",B337-D337),0)</f>
        <v/>
      </c>
      <c r="D337" s="9">
        <f>IFERROR(IF(336&gt;입력!B6*12,"",ROUND(E336*입력!B5/100/12,0)),0)</f>
        <v/>
      </c>
      <c r="E337" s="9">
        <f>IFERROR(IF(336&gt;입력!B6*12,"",E336-C337),0)</f>
        <v/>
      </c>
    </row>
    <row r="338">
      <c r="A338" s="8" t="n">
        <v>337</v>
      </c>
      <c r="B338" s="9">
        <f>IFERROR(IF(337&gt;입력!B6*12,"",IF(입력!B7="원리금균등",ROUND(-PMT(입력!B5/100/12,입력!B6*12,입력!B4),0),ROUND(입력!B4/(입력!B6*12)+E338*입력!B5/100/12,0))),0)</f>
        <v/>
      </c>
      <c r="C338" s="9">
        <f>IFERROR(IF(337&gt;입력!B6*12,"",B338-D338),0)</f>
        <v/>
      </c>
      <c r="D338" s="9">
        <f>IFERROR(IF(337&gt;입력!B6*12,"",ROUND(E337*입력!B5/100/12,0)),0)</f>
        <v/>
      </c>
      <c r="E338" s="9">
        <f>IFERROR(IF(337&gt;입력!B6*12,"",E337-C338),0)</f>
        <v/>
      </c>
    </row>
    <row r="339">
      <c r="A339" s="8" t="n">
        <v>338</v>
      </c>
      <c r="B339" s="9">
        <f>IFERROR(IF(338&gt;입력!B6*12,"",IF(입력!B7="원리금균등",ROUND(-PMT(입력!B5/100/12,입력!B6*12,입력!B4),0),ROUND(입력!B4/(입력!B6*12)+E339*입력!B5/100/12,0))),0)</f>
        <v/>
      </c>
      <c r="C339" s="9">
        <f>IFERROR(IF(338&gt;입력!B6*12,"",B339-D339),0)</f>
        <v/>
      </c>
      <c r="D339" s="9">
        <f>IFERROR(IF(338&gt;입력!B6*12,"",ROUND(E338*입력!B5/100/12,0)),0)</f>
        <v/>
      </c>
      <c r="E339" s="9">
        <f>IFERROR(IF(338&gt;입력!B6*12,"",E338-C339),0)</f>
        <v/>
      </c>
    </row>
    <row r="340">
      <c r="A340" s="8" t="n">
        <v>339</v>
      </c>
      <c r="B340" s="9">
        <f>IFERROR(IF(339&gt;입력!B6*12,"",IF(입력!B7="원리금균등",ROUND(-PMT(입력!B5/100/12,입력!B6*12,입력!B4),0),ROUND(입력!B4/(입력!B6*12)+E340*입력!B5/100/12,0))),0)</f>
        <v/>
      </c>
      <c r="C340" s="9">
        <f>IFERROR(IF(339&gt;입력!B6*12,"",B340-D340),0)</f>
        <v/>
      </c>
      <c r="D340" s="9">
        <f>IFERROR(IF(339&gt;입력!B6*12,"",ROUND(E339*입력!B5/100/12,0)),0)</f>
        <v/>
      </c>
      <c r="E340" s="9">
        <f>IFERROR(IF(339&gt;입력!B6*12,"",E339-C340),0)</f>
        <v/>
      </c>
    </row>
    <row r="341">
      <c r="A341" s="8" t="n">
        <v>340</v>
      </c>
      <c r="B341" s="9">
        <f>IFERROR(IF(340&gt;입력!B6*12,"",IF(입력!B7="원리금균등",ROUND(-PMT(입력!B5/100/12,입력!B6*12,입력!B4),0),ROUND(입력!B4/(입력!B6*12)+E341*입력!B5/100/12,0))),0)</f>
        <v/>
      </c>
      <c r="C341" s="9">
        <f>IFERROR(IF(340&gt;입력!B6*12,"",B341-D341),0)</f>
        <v/>
      </c>
      <c r="D341" s="9">
        <f>IFERROR(IF(340&gt;입력!B6*12,"",ROUND(E340*입력!B5/100/12,0)),0)</f>
        <v/>
      </c>
      <c r="E341" s="9">
        <f>IFERROR(IF(340&gt;입력!B6*12,"",E340-C341),0)</f>
        <v/>
      </c>
    </row>
    <row r="342">
      <c r="A342" s="8" t="n">
        <v>341</v>
      </c>
      <c r="B342" s="9">
        <f>IFERROR(IF(341&gt;입력!B6*12,"",IF(입력!B7="원리금균등",ROUND(-PMT(입력!B5/100/12,입력!B6*12,입력!B4),0),ROUND(입력!B4/(입력!B6*12)+E342*입력!B5/100/12,0))),0)</f>
        <v/>
      </c>
      <c r="C342" s="9">
        <f>IFERROR(IF(341&gt;입력!B6*12,"",B342-D342),0)</f>
        <v/>
      </c>
      <c r="D342" s="9">
        <f>IFERROR(IF(341&gt;입력!B6*12,"",ROUND(E341*입력!B5/100/12,0)),0)</f>
        <v/>
      </c>
      <c r="E342" s="9">
        <f>IFERROR(IF(341&gt;입력!B6*12,"",E341-C342),0)</f>
        <v/>
      </c>
    </row>
    <row r="343">
      <c r="A343" s="8" t="n">
        <v>342</v>
      </c>
      <c r="B343" s="9">
        <f>IFERROR(IF(342&gt;입력!B6*12,"",IF(입력!B7="원리금균등",ROUND(-PMT(입력!B5/100/12,입력!B6*12,입력!B4),0),ROUND(입력!B4/(입력!B6*12)+E343*입력!B5/100/12,0))),0)</f>
        <v/>
      </c>
      <c r="C343" s="9">
        <f>IFERROR(IF(342&gt;입력!B6*12,"",B343-D343),0)</f>
        <v/>
      </c>
      <c r="D343" s="9">
        <f>IFERROR(IF(342&gt;입력!B6*12,"",ROUND(E342*입력!B5/100/12,0)),0)</f>
        <v/>
      </c>
      <c r="E343" s="9">
        <f>IFERROR(IF(342&gt;입력!B6*12,"",E342-C343),0)</f>
        <v/>
      </c>
    </row>
    <row r="344">
      <c r="A344" s="8" t="n">
        <v>343</v>
      </c>
      <c r="B344" s="9">
        <f>IFERROR(IF(343&gt;입력!B6*12,"",IF(입력!B7="원리금균등",ROUND(-PMT(입력!B5/100/12,입력!B6*12,입력!B4),0),ROUND(입력!B4/(입력!B6*12)+E344*입력!B5/100/12,0))),0)</f>
        <v/>
      </c>
      <c r="C344" s="9">
        <f>IFERROR(IF(343&gt;입력!B6*12,"",B344-D344),0)</f>
        <v/>
      </c>
      <c r="D344" s="9">
        <f>IFERROR(IF(343&gt;입력!B6*12,"",ROUND(E343*입력!B5/100/12,0)),0)</f>
        <v/>
      </c>
      <c r="E344" s="9">
        <f>IFERROR(IF(343&gt;입력!B6*12,"",E343-C344),0)</f>
        <v/>
      </c>
    </row>
    <row r="345">
      <c r="A345" s="8" t="n">
        <v>344</v>
      </c>
      <c r="B345" s="9">
        <f>IFERROR(IF(344&gt;입력!B6*12,"",IF(입력!B7="원리금균등",ROUND(-PMT(입력!B5/100/12,입력!B6*12,입력!B4),0),ROUND(입력!B4/(입력!B6*12)+E345*입력!B5/100/12,0))),0)</f>
        <v/>
      </c>
      <c r="C345" s="9">
        <f>IFERROR(IF(344&gt;입력!B6*12,"",B345-D345),0)</f>
        <v/>
      </c>
      <c r="D345" s="9">
        <f>IFERROR(IF(344&gt;입력!B6*12,"",ROUND(E344*입력!B5/100/12,0)),0)</f>
        <v/>
      </c>
      <c r="E345" s="9">
        <f>IFERROR(IF(344&gt;입력!B6*12,"",E344-C345),0)</f>
        <v/>
      </c>
    </row>
    <row r="346">
      <c r="A346" s="8" t="n">
        <v>345</v>
      </c>
      <c r="B346" s="9">
        <f>IFERROR(IF(345&gt;입력!B6*12,"",IF(입력!B7="원리금균등",ROUND(-PMT(입력!B5/100/12,입력!B6*12,입력!B4),0),ROUND(입력!B4/(입력!B6*12)+E346*입력!B5/100/12,0))),0)</f>
        <v/>
      </c>
      <c r="C346" s="9">
        <f>IFERROR(IF(345&gt;입력!B6*12,"",B346-D346),0)</f>
        <v/>
      </c>
      <c r="D346" s="9">
        <f>IFERROR(IF(345&gt;입력!B6*12,"",ROUND(E345*입력!B5/100/12,0)),0)</f>
        <v/>
      </c>
      <c r="E346" s="9">
        <f>IFERROR(IF(345&gt;입력!B6*12,"",E345-C346),0)</f>
        <v/>
      </c>
    </row>
    <row r="347">
      <c r="A347" s="8" t="n">
        <v>346</v>
      </c>
      <c r="B347" s="9">
        <f>IFERROR(IF(346&gt;입력!B6*12,"",IF(입력!B7="원리금균등",ROUND(-PMT(입력!B5/100/12,입력!B6*12,입력!B4),0),ROUND(입력!B4/(입력!B6*12)+E347*입력!B5/100/12,0))),0)</f>
        <v/>
      </c>
      <c r="C347" s="9">
        <f>IFERROR(IF(346&gt;입력!B6*12,"",B347-D347),0)</f>
        <v/>
      </c>
      <c r="D347" s="9">
        <f>IFERROR(IF(346&gt;입력!B6*12,"",ROUND(E346*입력!B5/100/12,0)),0)</f>
        <v/>
      </c>
      <c r="E347" s="9">
        <f>IFERROR(IF(346&gt;입력!B6*12,"",E346-C347),0)</f>
        <v/>
      </c>
    </row>
    <row r="348">
      <c r="A348" s="8" t="n">
        <v>347</v>
      </c>
      <c r="B348" s="9">
        <f>IFERROR(IF(347&gt;입력!B6*12,"",IF(입력!B7="원리금균등",ROUND(-PMT(입력!B5/100/12,입력!B6*12,입력!B4),0),ROUND(입력!B4/(입력!B6*12)+E348*입력!B5/100/12,0))),0)</f>
        <v/>
      </c>
      <c r="C348" s="9">
        <f>IFERROR(IF(347&gt;입력!B6*12,"",B348-D348),0)</f>
        <v/>
      </c>
      <c r="D348" s="9">
        <f>IFERROR(IF(347&gt;입력!B6*12,"",ROUND(E347*입력!B5/100/12,0)),0)</f>
        <v/>
      </c>
      <c r="E348" s="9">
        <f>IFERROR(IF(347&gt;입력!B6*12,"",E347-C348),0)</f>
        <v/>
      </c>
    </row>
    <row r="349">
      <c r="A349" s="8" t="n">
        <v>348</v>
      </c>
      <c r="B349" s="9">
        <f>IFERROR(IF(348&gt;입력!B6*12,"",IF(입력!B7="원리금균등",ROUND(-PMT(입력!B5/100/12,입력!B6*12,입력!B4),0),ROUND(입력!B4/(입력!B6*12)+E349*입력!B5/100/12,0))),0)</f>
        <v/>
      </c>
      <c r="C349" s="9">
        <f>IFERROR(IF(348&gt;입력!B6*12,"",B349-D349),0)</f>
        <v/>
      </c>
      <c r="D349" s="9">
        <f>IFERROR(IF(348&gt;입력!B6*12,"",ROUND(E348*입력!B5/100/12,0)),0)</f>
        <v/>
      </c>
      <c r="E349" s="9">
        <f>IFERROR(IF(348&gt;입력!B6*12,"",E348-C349),0)</f>
        <v/>
      </c>
    </row>
    <row r="350">
      <c r="A350" s="8" t="n">
        <v>349</v>
      </c>
      <c r="B350" s="9">
        <f>IFERROR(IF(349&gt;입력!B6*12,"",IF(입력!B7="원리금균등",ROUND(-PMT(입력!B5/100/12,입력!B6*12,입력!B4),0),ROUND(입력!B4/(입력!B6*12)+E350*입력!B5/100/12,0))),0)</f>
        <v/>
      </c>
      <c r="C350" s="9">
        <f>IFERROR(IF(349&gt;입력!B6*12,"",B350-D350),0)</f>
        <v/>
      </c>
      <c r="D350" s="9">
        <f>IFERROR(IF(349&gt;입력!B6*12,"",ROUND(E349*입력!B5/100/12,0)),0)</f>
        <v/>
      </c>
      <c r="E350" s="9">
        <f>IFERROR(IF(349&gt;입력!B6*12,"",E349-C350),0)</f>
        <v/>
      </c>
    </row>
    <row r="351">
      <c r="A351" s="8" t="n">
        <v>350</v>
      </c>
      <c r="B351" s="9">
        <f>IFERROR(IF(350&gt;입력!B6*12,"",IF(입력!B7="원리금균등",ROUND(-PMT(입력!B5/100/12,입력!B6*12,입력!B4),0),ROUND(입력!B4/(입력!B6*12)+E351*입력!B5/100/12,0))),0)</f>
        <v/>
      </c>
      <c r="C351" s="9">
        <f>IFERROR(IF(350&gt;입력!B6*12,"",B351-D351),0)</f>
        <v/>
      </c>
      <c r="D351" s="9">
        <f>IFERROR(IF(350&gt;입력!B6*12,"",ROUND(E350*입력!B5/100/12,0)),0)</f>
        <v/>
      </c>
      <c r="E351" s="9">
        <f>IFERROR(IF(350&gt;입력!B6*12,"",E350-C351),0)</f>
        <v/>
      </c>
    </row>
    <row r="352">
      <c r="A352" s="8" t="n">
        <v>351</v>
      </c>
      <c r="B352" s="9">
        <f>IFERROR(IF(351&gt;입력!B6*12,"",IF(입력!B7="원리금균등",ROUND(-PMT(입력!B5/100/12,입력!B6*12,입력!B4),0),ROUND(입력!B4/(입력!B6*12)+E352*입력!B5/100/12,0))),0)</f>
        <v/>
      </c>
      <c r="C352" s="9">
        <f>IFERROR(IF(351&gt;입력!B6*12,"",B352-D352),0)</f>
        <v/>
      </c>
      <c r="D352" s="9">
        <f>IFERROR(IF(351&gt;입력!B6*12,"",ROUND(E351*입력!B5/100/12,0)),0)</f>
        <v/>
      </c>
      <c r="E352" s="9">
        <f>IFERROR(IF(351&gt;입력!B6*12,"",E351-C352),0)</f>
        <v/>
      </c>
    </row>
    <row r="353">
      <c r="A353" s="8" t="n">
        <v>352</v>
      </c>
      <c r="B353" s="9">
        <f>IFERROR(IF(352&gt;입력!B6*12,"",IF(입력!B7="원리금균등",ROUND(-PMT(입력!B5/100/12,입력!B6*12,입력!B4),0),ROUND(입력!B4/(입력!B6*12)+E353*입력!B5/100/12,0))),0)</f>
        <v/>
      </c>
      <c r="C353" s="9">
        <f>IFERROR(IF(352&gt;입력!B6*12,"",B353-D353),0)</f>
        <v/>
      </c>
      <c r="D353" s="9">
        <f>IFERROR(IF(352&gt;입력!B6*12,"",ROUND(E352*입력!B5/100/12,0)),0)</f>
        <v/>
      </c>
      <c r="E353" s="9">
        <f>IFERROR(IF(352&gt;입력!B6*12,"",E352-C353),0)</f>
        <v/>
      </c>
    </row>
    <row r="354">
      <c r="A354" s="8" t="n">
        <v>353</v>
      </c>
      <c r="B354" s="9">
        <f>IFERROR(IF(353&gt;입력!B6*12,"",IF(입력!B7="원리금균등",ROUND(-PMT(입력!B5/100/12,입력!B6*12,입력!B4),0),ROUND(입력!B4/(입력!B6*12)+E354*입력!B5/100/12,0))),0)</f>
        <v/>
      </c>
      <c r="C354" s="9">
        <f>IFERROR(IF(353&gt;입력!B6*12,"",B354-D354),0)</f>
        <v/>
      </c>
      <c r="D354" s="9">
        <f>IFERROR(IF(353&gt;입력!B6*12,"",ROUND(E353*입력!B5/100/12,0)),0)</f>
        <v/>
      </c>
      <c r="E354" s="9">
        <f>IFERROR(IF(353&gt;입력!B6*12,"",E353-C354),0)</f>
        <v/>
      </c>
    </row>
    <row r="355">
      <c r="A355" s="8" t="n">
        <v>354</v>
      </c>
      <c r="B355" s="9">
        <f>IFERROR(IF(354&gt;입력!B6*12,"",IF(입력!B7="원리금균등",ROUND(-PMT(입력!B5/100/12,입력!B6*12,입력!B4),0),ROUND(입력!B4/(입력!B6*12)+E355*입력!B5/100/12,0))),0)</f>
        <v/>
      </c>
      <c r="C355" s="9">
        <f>IFERROR(IF(354&gt;입력!B6*12,"",B355-D355),0)</f>
        <v/>
      </c>
      <c r="D355" s="9">
        <f>IFERROR(IF(354&gt;입력!B6*12,"",ROUND(E354*입력!B5/100/12,0)),0)</f>
        <v/>
      </c>
      <c r="E355" s="9">
        <f>IFERROR(IF(354&gt;입력!B6*12,"",E354-C355),0)</f>
        <v/>
      </c>
    </row>
    <row r="356">
      <c r="A356" s="8" t="n">
        <v>355</v>
      </c>
      <c r="B356" s="9">
        <f>IFERROR(IF(355&gt;입력!B6*12,"",IF(입력!B7="원리금균등",ROUND(-PMT(입력!B5/100/12,입력!B6*12,입력!B4),0),ROUND(입력!B4/(입력!B6*12)+E356*입력!B5/100/12,0))),0)</f>
        <v/>
      </c>
      <c r="C356" s="9">
        <f>IFERROR(IF(355&gt;입력!B6*12,"",B356-D356),0)</f>
        <v/>
      </c>
      <c r="D356" s="9">
        <f>IFERROR(IF(355&gt;입력!B6*12,"",ROUND(E355*입력!B5/100/12,0)),0)</f>
        <v/>
      </c>
      <c r="E356" s="9">
        <f>IFERROR(IF(355&gt;입력!B6*12,"",E355-C356),0)</f>
        <v/>
      </c>
    </row>
    <row r="357">
      <c r="A357" s="8" t="n">
        <v>356</v>
      </c>
      <c r="B357" s="9">
        <f>IFERROR(IF(356&gt;입력!B6*12,"",IF(입력!B7="원리금균등",ROUND(-PMT(입력!B5/100/12,입력!B6*12,입력!B4),0),ROUND(입력!B4/(입력!B6*12)+E357*입력!B5/100/12,0))),0)</f>
        <v/>
      </c>
      <c r="C357" s="9">
        <f>IFERROR(IF(356&gt;입력!B6*12,"",B357-D357),0)</f>
        <v/>
      </c>
      <c r="D357" s="9">
        <f>IFERROR(IF(356&gt;입력!B6*12,"",ROUND(E356*입력!B5/100/12,0)),0)</f>
        <v/>
      </c>
      <c r="E357" s="9">
        <f>IFERROR(IF(356&gt;입력!B6*12,"",E356-C357),0)</f>
        <v/>
      </c>
    </row>
    <row r="358">
      <c r="A358" s="8" t="n">
        <v>357</v>
      </c>
      <c r="B358" s="9">
        <f>IFERROR(IF(357&gt;입력!B6*12,"",IF(입력!B7="원리금균등",ROUND(-PMT(입력!B5/100/12,입력!B6*12,입력!B4),0),ROUND(입력!B4/(입력!B6*12)+E358*입력!B5/100/12,0))),0)</f>
        <v/>
      </c>
      <c r="C358" s="9">
        <f>IFERROR(IF(357&gt;입력!B6*12,"",B358-D358),0)</f>
        <v/>
      </c>
      <c r="D358" s="9">
        <f>IFERROR(IF(357&gt;입력!B6*12,"",ROUND(E357*입력!B5/100/12,0)),0)</f>
        <v/>
      </c>
      <c r="E358" s="9">
        <f>IFERROR(IF(357&gt;입력!B6*12,"",E357-C358),0)</f>
        <v/>
      </c>
    </row>
    <row r="359">
      <c r="A359" s="8" t="n">
        <v>358</v>
      </c>
      <c r="B359" s="9">
        <f>IFERROR(IF(358&gt;입력!B6*12,"",IF(입력!B7="원리금균등",ROUND(-PMT(입력!B5/100/12,입력!B6*12,입력!B4),0),ROUND(입력!B4/(입력!B6*12)+E359*입력!B5/100/12,0))),0)</f>
        <v/>
      </c>
      <c r="C359" s="9">
        <f>IFERROR(IF(358&gt;입력!B6*12,"",B359-D359),0)</f>
        <v/>
      </c>
      <c r="D359" s="9">
        <f>IFERROR(IF(358&gt;입력!B6*12,"",ROUND(E358*입력!B5/100/12,0)),0)</f>
        <v/>
      </c>
      <c r="E359" s="9">
        <f>IFERROR(IF(358&gt;입력!B6*12,"",E358-C359),0)</f>
        <v/>
      </c>
    </row>
    <row r="360">
      <c r="A360" s="8" t="n">
        <v>359</v>
      </c>
      <c r="B360" s="9">
        <f>IFERROR(IF(359&gt;입력!B6*12,"",IF(입력!B7="원리금균등",ROUND(-PMT(입력!B5/100/12,입력!B6*12,입력!B4),0),ROUND(입력!B4/(입력!B6*12)+E360*입력!B5/100/12,0))),0)</f>
        <v/>
      </c>
      <c r="C360" s="9">
        <f>IFERROR(IF(359&gt;입력!B6*12,"",B360-D360),0)</f>
        <v/>
      </c>
      <c r="D360" s="9">
        <f>IFERROR(IF(359&gt;입력!B6*12,"",ROUND(E359*입력!B5/100/12,0)),0)</f>
        <v/>
      </c>
      <c r="E360" s="9">
        <f>IFERROR(IF(359&gt;입력!B6*12,"",E359-C360),0)</f>
        <v/>
      </c>
    </row>
    <row r="361">
      <c r="A361" s="8" t="n">
        <v>360</v>
      </c>
      <c r="B361" s="9">
        <f>IFERROR(IF(360&gt;입력!B6*12,"",IF(입력!B7="원리금균등",ROUND(-PMT(입력!B5/100/12,입력!B6*12,입력!B4),0),ROUND(입력!B4/(입력!B6*12)+E361*입력!B5/100/12,0))),0)</f>
        <v/>
      </c>
      <c r="C361" s="9">
        <f>IFERROR(IF(360&gt;입력!B6*12,"",B361-D361),0)</f>
        <v/>
      </c>
      <c r="D361" s="9">
        <f>IFERROR(IF(360&gt;입력!B6*12,"",ROUND(E360*입력!B5/100/12,0)),0)</f>
        <v/>
      </c>
      <c r="E361" s="9">
        <f>IFERROR(IF(360&gt;입력!B6*12,"",E360-C361),0)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FAE5"/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</cols>
  <sheetData>
    <row r="1">
      <c r="A1" s="1" t="inlineStr">
        <is>
          <t>🏦 대출 상환 대시보드</t>
        </is>
      </c>
    </row>
    <row r="3">
      <c r="A3" s="10" t="inlineStr">
        <is>
          <t>대출금액</t>
        </is>
      </c>
      <c r="B3" s="11">
        <f>입력!B4</f>
        <v/>
      </c>
    </row>
    <row r="4">
      <c r="A4" s="10" t="inlineStr">
        <is>
          <t>월 상환액</t>
        </is>
      </c>
      <c r="B4" s="12">
        <f>IFERROR(상환스케줄!B2,0)</f>
        <v/>
      </c>
    </row>
    <row r="5">
      <c r="A5" s="10" t="inlineStr">
        <is>
          <t>총 상환액</t>
        </is>
      </c>
      <c r="B5" s="11">
        <f>IFERROR(SUM(상환스케줄!B2:B361),0)</f>
        <v/>
      </c>
    </row>
    <row r="6">
      <c r="A6" s="10" t="inlineStr">
        <is>
          <t>총 이자</t>
        </is>
      </c>
      <c r="B6" s="12">
        <f>B5-입력!B4</f>
        <v/>
      </c>
    </row>
    <row r="7">
      <c r="A7" s="10" t="inlineStr">
        <is>
          <t>이자/원금 비율</t>
        </is>
      </c>
      <c r="B7" s="13">
        <f>IFERROR(ROUND(B6/입력!B4*100,1),0)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FC000"/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대출 상환 시뮬레이터 사용 가이드</t>
        </is>
      </c>
    </row>
    <row r="3">
      <c r="A3" s="14" t="inlineStr">
        <is>
          <t>■ 색상 범례</t>
        </is>
      </c>
    </row>
    <row r="4">
      <c r="A4" s="15" t="inlineStr">
        <is>
          <t>노란색 셀</t>
        </is>
      </c>
      <c r="B4" t="inlineStr">
        <is>
          <t>직접 입력하는 셀</t>
        </is>
      </c>
    </row>
    <row r="5">
      <c r="A5" s="16" t="inlineStr">
        <is>
          <t>파란색 셀</t>
        </is>
      </c>
      <c r="B5" t="inlineStr">
        <is>
          <t>자동 계산 셀 (수정 금지)</t>
        </is>
      </c>
    </row>
    <row r="6">
      <c r="A6" s="17" t="inlineStr">
        <is>
          <t>초록색 셀</t>
        </is>
      </c>
      <c r="B6" t="inlineStr">
        <is>
          <t>대시보드 요약 결과</t>
        </is>
      </c>
    </row>
    <row r="8">
      <c r="A8" s="14" t="inlineStr">
        <is>
          <t>■ 사용 방법</t>
        </is>
      </c>
    </row>
    <row r="9">
      <c r="A9" s="18" t="inlineStr">
        <is>
          <t>1. [입력] 시트에서 대출금액, 연이율, 상환기간, 상환방식을 입력합니다.</t>
        </is>
      </c>
    </row>
    <row r="10">
      <c r="A10" s="18" t="inlineStr">
        <is>
          <t xml:space="preserve">   - 상환 방식: 원리금균등(매월 동일 금액) 또는 원금균등(매월 동일 원금) 선택</t>
        </is>
      </c>
    </row>
    <row r="11">
      <c r="A11" s="18" t="inlineStr">
        <is>
          <t>2. [상환스케줄] 시트에서 최대 360회 월별 상환 내역을 확인합니다.</t>
        </is>
      </c>
    </row>
    <row r="12">
      <c r="A12" s="18" t="inlineStr">
        <is>
          <t>3. [대시보드]에서 월 상환액, 총 이자, 잔여 원금 그래프를 확인합니다.</t>
        </is>
      </c>
    </row>
    <row r="13">
      <c r="A13" s="18" t="inlineStr"/>
    </row>
    <row r="14">
      <c r="A14" s="18" t="inlineStr">
        <is>
          <t>※ 중도상환 반영은 지원하지 않습니다. 참고용으로 사용하세요.</t>
        </is>
      </c>
    </row>
    <row r="16">
      <c r="A16" s="14" t="inlineStr">
        <is>
          <t>■ 주의사항</t>
        </is>
      </c>
    </row>
    <row r="17">
      <c r="A17" t="inlineStr">
        <is>
          <t>• 파란색·초록색 셀의 수식을 수정하지 마세요.</t>
        </is>
      </c>
    </row>
    <row r="18">
      <c r="A18" t="inlineStr">
        <is>
          <t>• 노란색 셀에만 값을 입력하세요.</t>
        </is>
      </c>
    </row>
    <row r="19">
      <c r="A19" t="inlineStr">
        <is>
          <t>• 모든 금액 단위는 원(₩)입니다.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2026-04-09T12:08:51Z</dcterms:created>
  <dcterms:modified xmlns:dcterms="http://purl.org/dc/terms/" xmlns:xsi="http://www.w3.org/2001/XMLSchema-instance" xsi:type="dcterms:W3CDTF">2026-04-09T12:08:51Z</dcterms:modified>
</cp:coreProperties>
</file>